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hmfa\OneDrive\Desktop\_Outputs\Rakeeza_Website_20261103_v1\library\files\"/>
    </mc:Choice>
  </mc:AlternateContent>
  <xr:revisionPtr revIDLastSave="0" documentId="8_{C8DAE67D-5512-4E51-9274-B6CA01CEFFF4}" xr6:coauthVersionLast="47" xr6:coauthVersionMax="47" xr10:uidLastSave="{00000000-0000-0000-0000-000000000000}"/>
  <bookViews>
    <workbookView xWindow="-108" yWindow="-108" windowWidth="23256" windowHeight="13896" xr2:uid="{00000000-000D-0000-FFFF-FFFF00000000}"/>
  </bookViews>
  <sheets>
    <sheet name="Criteria" sheetId="1" r:id="rId1"/>
    <sheet name="Prequal_Scoring" sheetId="2" r:id="rId2"/>
    <sheet name="Performance_Evaluation" sheetId="3" r:id="rId3"/>
    <sheet name="Dashboard" sheetId="4" r:id="rId4"/>
  </sheets>
  <definedNames>
    <definedName name="_xlnm._FilterDatabase" localSheetId="0" hidden="1">Criteria!$A$11:$N$74</definedName>
    <definedName name="_xlnm._FilterDatabase" localSheetId="1" hidden="1">Prequal_Scoring!$A$13:$K$76</definedName>
    <definedName name="PerfCum">OFFSET(Performance_Evaluation!$AB$21,0,0,MAX(1,Performance_Evaluation!$C$34),1)</definedName>
    <definedName name="PerfMonth">OFFSET(Performance_Evaluation!$B$21,0,0,MAX(1,Performance_Evaluation!$C$34),1)</definedName>
    <definedName name="PerfRoll">OFFSET(Performance_Evaluation!$AC$21,0,0,MAX(1,Performance_Evaluation!$C$34),1)</definedName>
    <definedName name="PerfScore">OFFSET(Performance_Evaluation!$Y$21,0,0,MAX(1,Performance_Evaluation!$C$34),1)</definedName>
    <definedName name="_xlnm.Print_Titles" localSheetId="0">Criteria!$11:$11</definedName>
    <definedName name="_xlnm.Print_Titles" localSheetId="2">Performance_Evaluation!$20:$20</definedName>
    <definedName name="_xlnm.Print_Titles" localSheetId="1">Prequal_Scoring!$13:$13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8" i="4" l="1"/>
  <c r="B47" i="4"/>
  <c r="B46" i="4"/>
  <c r="B45" i="4"/>
  <c r="B44" i="4"/>
  <c r="B43" i="4"/>
  <c r="B42" i="4"/>
  <c r="B41" i="4"/>
  <c r="D16" i="4"/>
  <c r="J16" i="4" s="1"/>
  <c r="I40" i="4" s="1"/>
  <c r="D15" i="4"/>
  <c r="J15" i="4" s="1"/>
  <c r="H40" i="4" s="1"/>
  <c r="D14" i="4"/>
  <c r="J14" i="4" s="1"/>
  <c r="G40" i="4" s="1"/>
  <c r="D13" i="4"/>
  <c r="J13" i="4" s="1"/>
  <c r="F40" i="4" s="1"/>
  <c r="D12" i="4"/>
  <c r="J12" i="4" s="1"/>
  <c r="E40" i="4" s="1"/>
  <c r="B6" i="4"/>
  <c r="L5" i="4"/>
  <c r="B5" i="4"/>
  <c r="L4" i="4"/>
  <c r="B4" i="4"/>
  <c r="C41" i="3"/>
  <c r="L11" i="4" s="1"/>
  <c r="C40" i="3"/>
  <c r="Y32" i="3"/>
  <c r="X32" i="3"/>
  <c r="W32" i="3"/>
  <c r="V32" i="3"/>
  <c r="U32" i="3"/>
  <c r="T32" i="3"/>
  <c r="S32" i="3"/>
  <c r="R32" i="3"/>
  <c r="Q32" i="3"/>
  <c r="P32" i="3"/>
  <c r="O32" i="3"/>
  <c r="N32" i="3"/>
  <c r="B32" i="3"/>
  <c r="Y31" i="3"/>
  <c r="X31" i="3"/>
  <c r="W31" i="3"/>
  <c r="V31" i="3"/>
  <c r="U31" i="3"/>
  <c r="T31" i="3"/>
  <c r="S31" i="3"/>
  <c r="R31" i="3"/>
  <c r="Q31" i="3"/>
  <c r="P31" i="3"/>
  <c r="O31" i="3"/>
  <c r="N31" i="3"/>
  <c r="B31" i="3"/>
  <c r="Y30" i="3"/>
  <c r="X30" i="3"/>
  <c r="W30" i="3"/>
  <c r="V30" i="3"/>
  <c r="U30" i="3"/>
  <c r="T30" i="3"/>
  <c r="S30" i="3"/>
  <c r="R30" i="3"/>
  <c r="Q30" i="3"/>
  <c r="P30" i="3"/>
  <c r="O30" i="3"/>
  <c r="N30" i="3"/>
  <c r="B30" i="3"/>
  <c r="Y29" i="3"/>
  <c r="X29" i="3"/>
  <c r="W29" i="3"/>
  <c r="V29" i="3"/>
  <c r="U29" i="3"/>
  <c r="T29" i="3"/>
  <c r="S29" i="3"/>
  <c r="R29" i="3"/>
  <c r="Q29" i="3"/>
  <c r="P29" i="3"/>
  <c r="O29" i="3"/>
  <c r="N29" i="3"/>
  <c r="B29" i="3"/>
  <c r="Y28" i="3"/>
  <c r="X28" i="3"/>
  <c r="W28" i="3"/>
  <c r="V28" i="3"/>
  <c r="U28" i="3"/>
  <c r="T28" i="3"/>
  <c r="S28" i="3"/>
  <c r="R28" i="3"/>
  <c r="Q28" i="3"/>
  <c r="P28" i="3"/>
  <c r="O28" i="3"/>
  <c r="N28" i="3"/>
  <c r="B28" i="3"/>
  <c r="Y27" i="3"/>
  <c r="X27" i="3"/>
  <c r="W27" i="3"/>
  <c r="V27" i="3"/>
  <c r="U27" i="3"/>
  <c r="T27" i="3"/>
  <c r="S27" i="3"/>
  <c r="R27" i="3"/>
  <c r="Q27" i="3"/>
  <c r="P27" i="3"/>
  <c r="O27" i="3"/>
  <c r="N27" i="3"/>
  <c r="B27" i="3"/>
  <c r="Y26" i="3"/>
  <c r="X26" i="3"/>
  <c r="W26" i="3"/>
  <c r="V26" i="3"/>
  <c r="U26" i="3"/>
  <c r="T26" i="3"/>
  <c r="S26" i="3"/>
  <c r="R26" i="3"/>
  <c r="Q26" i="3"/>
  <c r="P26" i="3"/>
  <c r="O26" i="3"/>
  <c r="N26" i="3"/>
  <c r="B26" i="3"/>
  <c r="X25" i="3"/>
  <c r="V25" i="3"/>
  <c r="T25" i="3"/>
  <c r="S25" i="3"/>
  <c r="Q25" i="3"/>
  <c r="P25" i="3"/>
  <c r="W25" i="3" s="1"/>
  <c r="O25" i="3"/>
  <c r="U25" i="3" s="1"/>
  <c r="N25" i="3"/>
  <c r="R25" i="3" s="1"/>
  <c r="B25" i="3"/>
  <c r="X24" i="3"/>
  <c r="V24" i="3"/>
  <c r="T24" i="3"/>
  <c r="S24" i="3"/>
  <c r="Q24" i="3"/>
  <c r="P24" i="3"/>
  <c r="W24" i="3" s="1"/>
  <c r="O24" i="3"/>
  <c r="U24" i="3" s="1"/>
  <c r="N24" i="3"/>
  <c r="R24" i="3" s="1"/>
  <c r="B24" i="3"/>
  <c r="X23" i="3"/>
  <c r="V23" i="3"/>
  <c r="T23" i="3"/>
  <c r="S23" i="3"/>
  <c r="Q23" i="3"/>
  <c r="P23" i="3"/>
  <c r="W23" i="3" s="1"/>
  <c r="O23" i="3"/>
  <c r="U23" i="3" s="1"/>
  <c r="N23" i="3"/>
  <c r="R23" i="3" s="1"/>
  <c r="B23" i="3"/>
  <c r="X22" i="3"/>
  <c r="V22" i="3"/>
  <c r="T22" i="3"/>
  <c r="S22" i="3"/>
  <c r="Q22" i="3"/>
  <c r="P22" i="3"/>
  <c r="W22" i="3" s="1"/>
  <c r="O22" i="3"/>
  <c r="U22" i="3" s="1"/>
  <c r="N22" i="3"/>
  <c r="R22" i="3" s="1"/>
  <c r="B22" i="3"/>
  <c r="X21" i="3"/>
  <c r="V21" i="3"/>
  <c r="T21" i="3"/>
  <c r="S21" i="3"/>
  <c r="Q21" i="3"/>
  <c r="P21" i="3"/>
  <c r="W21" i="3" s="1"/>
  <c r="O21" i="3"/>
  <c r="U21" i="3" s="1"/>
  <c r="N21" i="3"/>
  <c r="R21" i="3" s="1"/>
  <c r="B21" i="3"/>
  <c r="F17" i="3"/>
  <c r="G17" i="3" s="1"/>
  <c r="K95" i="2"/>
  <c r="I48" i="4" s="1"/>
  <c r="K94" i="2"/>
  <c r="I47" i="4" s="1"/>
  <c r="K93" i="2"/>
  <c r="I46" i="4" s="1"/>
  <c r="K92" i="2"/>
  <c r="I45" i="4" s="1"/>
  <c r="K91" i="2"/>
  <c r="I44" i="4" s="1"/>
  <c r="K90" i="2"/>
  <c r="I43" i="4" s="1"/>
  <c r="K89" i="2"/>
  <c r="I42" i="4" s="1"/>
  <c r="K88" i="2"/>
  <c r="I41" i="4" s="1"/>
  <c r="K87" i="2"/>
  <c r="J87" i="2"/>
  <c r="I87" i="2"/>
  <c r="H87" i="2"/>
  <c r="G87" i="2"/>
  <c r="K82" i="2"/>
  <c r="K81" i="2"/>
  <c r="K80" i="2"/>
  <c r="K79" i="2"/>
  <c r="F76" i="2"/>
  <c r="E76" i="2"/>
  <c r="D76" i="2"/>
  <c r="C76" i="2"/>
  <c r="B76" i="2"/>
  <c r="A76" i="2"/>
  <c r="F75" i="2"/>
  <c r="E75" i="2"/>
  <c r="D75" i="2"/>
  <c r="C75" i="2"/>
  <c r="B75" i="2"/>
  <c r="A75" i="2"/>
  <c r="F74" i="2"/>
  <c r="E74" i="2"/>
  <c r="D74" i="2"/>
  <c r="C74" i="2"/>
  <c r="B74" i="2"/>
  <c r="A74" i="2"/>
  <c r="F73" i="2"/>
  <c r="E73" i="2"/>
  <c r="D73" i="2"/>
  <c r="C73" i="2"/>
  <c r="B73" i="2"/>
  <c r="A73" i="2"/>
  <c r="F72" i="2"/>
  <c r="E72" i="2"/>
  <c r="D72" i="2"/>
  <c r="C72" i="2"/>
  <c r="B72" i="2"/>
  <c r="A72" i="2"/>
  <c r="F71" i="2"/>
  <c r="E71" i="2"/>
  <c r="D71" i="2"/>
  <c r="C71" i="2"/>
  <c r="B71" i="2"/>
  <c r="A71" i="2"/>
  <c r="F70" i="2"/>
  <c r="E70" i="2"/>
  <c r="D70" i="2"/>
  <c r="C70" i="2"/>
  <c r="B70" i="2"/>
  <c r="A70" i="2"/>
  <c r="F69" i="2"/>
  <c r="E69" i="2"/>
  <c r="D69" i="2"/>
  <c r="C69" i="2"/>
  <c r="B69" i="2"/>
  <c r="A69" i="2"/>
  <c r="F68" i="2"/>
  <c r="E68" i="2"/>
  <c r="D68" i="2"/>
  <c r="C68" i="2"/>
  <c r="B68" i="2"/>
  <c r="A68" i="2"/>
  <c r="F67" i="2"/>
  <c r="E67" i="2"/>
  <c r="D67" i="2"/>
  <c r="C67" i="2"/>
  <c r="B67" i="2"/>
  <c r="A67" i="2"/>
  <c r="F66" i="2"/>
  <c r="E66" i="2"/>
  <c r="D66" i="2"/>
  <c r="C66" i="2"/>
  <c r="B66" i="2"/>
  <c r="A66" i="2"/>
  <c r="F65" i="2"/>
  <c r="E65" i="2"/>
  <c r="D65" i="2"/>
  <c r="C65" i="2"/>
  <c r="B65" i="2"/>
  <c r="A65" i="2"/>
  <c r="F64" i="2"/>
  <c r="E64" i="2"/>
  <c r="D64" i="2"/>
  <c r="C64" i="2"/>
  <c r="B64" i="2"/>
  <c r="A64" i="2"/>
  <c r="F63" i="2"/>
  <c r="E63" i="2"/>
  <c r="D63" i="2"/>
  <c r="C63" i="2"/>
  <c r="B63" i="2"/>
  <c r="A63" i="2"/>
  <c r="F62" i="2"/>
  <c r="E62" i="2"/>
  <c r="D62" i="2"/>
  <c r="C62" i="2"/>
  <c r="B62" i="2"/>
  <c r="A62" i="2"/>
  <c r="F61" i="2"/>
  <c r="E61" i="2"/>
  <c r="D61" i="2"/>
  <c r="C61" i="2"/>
  <c r="B61" i="2"/>
  <c r="A61" i="2"/>
  <c r="F60" i="2"/>
  <c r="E60" i="2"/>
  <c r="D60" i="2"/>
  <c r="C60" i="2"/>
  <c r="B60" i="2"/>
  <c r="A60" i="2"/>
  <c r="F59" i="2"/>
  <c r="E59" i="2"/>
  <c r="D59" i="2"/>
  <c r="C59" i="2"/>
  <c r="B59" i="2"/>
  <c r="A59" i="2"/>
  <c r="F58" i="2"/>
  <c r="E58" i="2"/>
  <c r="D58" i="2"/>
  <c r="C58" i="2"/>
  <c r="B58" i="2"/>
  <c r="A58" i="2"/>
  <c r="F57" i="2"/>
  <c r="E57" i="2"/>
  <c r="D57" i="2"/>
  <c r="C57" i="2"/>
  <c r="B57" i="2"/>
  <c r="A57" i="2"/>
  <c r="F56" i="2"/>
  <c r="E56" i="2"/>
  <c r="D56" i="2"/>
  <c r="C56" i="2"/>
  <c r="B56" i="2"/>
  <c r="A56" i="2"/>
  <c r="F55" i="2"/>
  <c r="E55" i="2"/>
  <c r="D55" i="2"/>
  <c r="C55" i="2"/>
  <c r="B55" i="2"/>
  <c r="A55" i="2"/>
  <c r="F54" i="2"/>
  <c r="E54" i="2"/>
  <c r="D54" i="2"/>
  <c r="C54" i="2"/>
  <c r="B54" i="2"/>
  <c r="A54" i="2"/>
  <c r="F53" i="2"/>
  <c r="E53" i="2"/>
  <c r="D53" i="2"/>
  <c r="C53" i="2"/>
  <c r="B53" i="2"/>
  <c r="A53" i="2"/>
  <c r="F52" i="2"/>
  <c r="E52" i="2"/>
  <c r="D52" i="2"/>
  <c r="C52" i="2"/>
  <c r="B52" i="2"/>
  <c r="A52" i="2"/>
  <c r="F51" i="2"/>
  <c r="E51" i="2"/>
  <c r="D51" i="2"/>
  <c r="C51" i="2"/>
  <c r="B51" i="2"/>
  <c r="A51" i="2"/>
  <c r="F50" i="2"/>
  <c r="E50" i="2"/>
  <c r="D50" i="2"/>
  <c r="C50" i="2"/>
  <c r="B50" i="2"/>
  <c r="A50" i="2"/>
  <c r="F49" i="2"/>
  <c r="E49" i="2"/>
  <c r="D49" i="2"/>
  <c r="C49" i="2"/>
  <c r="B49" i="2"/>
  <c r="A49" i="2"/>
  <c r="F48" i="2"/>
  <c r="E48" i="2"/>
  <c r="D48" i="2"/>
  <c r="C48" i="2"/>
  <c r="B48" i="2"/>
  <c r="A48" i="2"/>
  <c r="F47" i="2"/>
  <c r="E47" i="2"/>
  <c r="D47" i="2"/>
  <c r="C47" i="2"/>
  <c r="B47" i="2"/>
  <c r="A47" i="2"/>
  <c r="F46" i="2"/>
  <c r="E46" i="2"/>
  <c r="D46" i="2"/>
  <c r="C46" i="2"/>
  <c r="B46" i="2"/>
  <c r="A46" i="2"/>
  <c r="F45" i="2"/>
  <c r="E45" i="2"/>
  <c r="D45" i="2"/>
  <c r="C45" i="2"/>
  <c r="B45" i="2"/>
  <c r="A45" i="2"/>
  <c r="F44" i="2"/>
  <c r="E44" i="2"/>
  <c r="D44" i="2"/>
  <c r="C44" i="2"/>
  <c r="B44" i="2"/>
  <c r="A44" i="2"/>
  <c r="F43" i="2"/>
  <c r="E43" i="2"/>
  <c r="D43" i="2"/>
  <c r="C43" i="2"/>
  <c r="B43" i="2"/>
  <c r="A43" i="2"/>
  <c r="F42" i="2"/>
  <c r="E42" i="2"/>
  <c r="D42" i="2"/>
  <c r="C42" i="2"/>
  <c r="B42" i="2"/>
  <c r="A42" i="2"/>
  <c r="F41" i="2"/>
  <c r="E41" i="2"/>
  <c r="D41" i="2"/>
  <c r="C41" i="2"/>
  <c r="B41" i="2"/>
  <c r="A41" i="2"/>
  <c r="F40" i="2"/>
  <c r="E40" i="2"/>
  <c r="D40" i="2"/>
  <c r="C40" i="2"/>
  <c r="B40" i="2"/>
  <c r="A40" i="2"/>
  <c r="F39" i="2"/>
  <c r="E39" i="2"/>
  <c r="D39" i="2"/>
  <c r="C39" i="2"/>
  <c r="B39" i="2"/>
  <c r="A39" i="2"/>
  <c r="F38" i="2"/>
  <c r="E38" i="2"/>
  <c r="D38" i="2"/>
  <c r="C38" i="2"/>
  <c r="B38" i="2"/>
  <c r="A38" i="2"/>
  <c r="F37" i="2"/>
  <c r="E37" i="2"/>
  <c r="D37" i="2"/>
  <c r="C37" i="2"/>
  <c r="B37" i="2"/>
  <c r="A37" i="2"/>
  <c r="F36" i="2"/>
  <c r="E36" i="2"/>
  <c r="D36" i="2"/>
  <c r="C36" i="2"/>
  <c r="B36" i="2"/>
  <c r="A36" i="2"/>
  <c r="F35" i="2"/>
  <c r="E35" i="2"/>
  <c r="D35" i="2"/>
  <c r="C35" i="2"/>
  <c r="B35" i="2"/>
  <c r="A35" i="2"/>
  <c r="F34" i="2"/>
  <c r="E34" i="2"/>
  <c r="D34" i="2"/>
  <c r="C34" i="2"/>
  <c r="B34" i="2"/>
  <c r="A34" i="2"/>
  <c r="F33" i="2"/>
  <c r="E33" i="2"/>
  <c r="D33" i="2"/>
  <c r="C33" i="2"/>
  <c r="B33" i="2"/>
  <c r="A33" i="2"/>
  <c r="F32" i="2"/>
  <c r="E32" i="2"/>
  <c r="D32" i="2"/>
  <c r="C32" i="2"/>
  <c r="B32" i="2"/>
  <c r="A32" i="2"/>
  <c r="F31" i="2"/>
  <c r="E31" i="2"/>
  <c r="D31" i="2"/>
  <c r="C31" i="2"/>
  <c r="B31" i="2"/>
  <c r="A31" i="2"/>
  <c r="F30" i="2"/>
  <c r="E30" i="2"/>
  <c r="D30" i="2"/>
  <c r="C30" i="2"/>
  <c r="B30" i="2"/>
  <c r="A30" i="2"/>
  <c r="F29" i="2"/>
  <c r="E29" i="2"/>
  <c r="D29" i="2"/>
  <c r="C29" i="2"/>
  <c r="B29" i="2"/>
  <c r="A29" i="2"/>
  <c r="F28" i="2"/>
  <c r="E28" i="2"/>
  <c r="D28" i="2"/>
  <c r="C28" i="2"/>
  <c r="B28" i="2"/>
  <c r="A28" i="2"/>
  <c r="F27" i="2"/>
  <c r="E27" i="2"/>
  <c r="D27" i="2"/>
  <c r="C27" i="2"/>
  <c r="B27" i="2"/>
  <c r="A27" i="2"/>
  <c r="F26" i="2"/>
  <c r="E26" i="2"/>
  <c r="D26" i="2"/>
  <c r="C26" i="2"/>
  <c r="B26" i="2"/>
  <c r="A26" i="2"/>
  <c r="F25" i="2"/>
  <c r="E25" i="2"/>
  <c r="D25" i="2"/>
  <c r="C25" i="2"/>
  <c r="B25" i="2"/>
  <c r="A25" i="2"/>
  <c r="F24" i="2"/>
  <c r="E24" i="2"/>
  <c r="D24" i="2"/>
  <c r="C24" i="2"/>
  <c r="B24" i="2"/>
  <c r="A24" i="2"/>
  <c r="F23" i="2"/>
  <c r="E23" i="2"/>
  <c r="D23" i="2"/>
  <c r="C23" i="2"/>
  <c r="B23" i="2"/>
  <c r="A23" i="2"/>
  <c r="F22" i="2"/>
  <c r="E22" i="2"/>
  <c r="D22" i="2"/>
  <c r="C22" i="2"/>
  <c r="B22" i="2"/>
  <c r="A22" i="2"/>
  <c r="F21" i="2"/>
  <c r="E21" i="2"/>
  <c r="D21" i="2"/>
  <c r="C21" i="2"/>
  <c r="B21" i="2"/>
  <c r="A21" i="2"/>
  <c r="F20" i="2"/>
  <c r="E20" i="2"/>
  <c r="D20" i="2"/>
  <c r="C20" i="2"/>
  <c r="B20" i="2"/>
  <c r="A20" i="2"/>
  <c r="F19" i="2"/>
  <c r="E19" i="2"/>
  <c r="D19" i="2"/>
  <c r="C19" i="2"/>
  <c r="B19" i="2"/>
  <c r="A19" i="2"/>
  <c r="F18" i="2"/>
  <c r="E18" i="2"/>
  <c r="D18" i="2"/>
  <c r="C18" i="2"/>
  <c r="B18" i="2"/>
  <c r="A18" i="2"/>
  <c r="F17" i="2"/>
  <c r="E17" i="2"/>
  <c r="D17" i="2"/>
  <c r="C17" i="2"/>
  <c r="B17" i="2"/>
  <c r="A17" i="2"/>
  <c r="F16" i="2"/>
  <c r="E16" i="2"/>
  <c r="D16" i="2"/>
  <c r="C16" i="2"/>
  <c r="B16" i="2"/>
  <c r="A16" i="2"/>
  <c r="F15" i="2"/>
  <c r="E15" i="2"/>
  <c r="D15" i="2"/>
  <c r="C15" i="2"/>
  <c r="B15" i="2"/>
  <c r="A15" i="2"/>
  <c r="F14" i="2"/>
  <c r="E14" i="2"/>
  <c r="D14" i="2"/>
  <c r="C14" i="2"/>
  <c r="B14" i="2"/>
  <c r="A14" i="2"/>
  <c r="G5" i="2"/>
  <c r="N86" i="1"/>
  <c r="M86" i="1"/>
  <c r="L86" i="1"/>
  <c r="K86" i="1"/>
  <c r="J86" i="1"/>
  <c r="N85" i="1"/>
  <c r="M85" i="1"/>
  <c r="L85" i="1"/>
  <c r="K85" i="1"/>
  <c r="J85" i="1"/>
  <c r="N84" i="1"/>
  <c r="M84" i="1"/>
  <c r="L84" i="1"/>
  <c r="K84" i="1"/>
  <c r="J84" i="1"/>
  <c r="N83" i="1"/>
  <c r="M83" i="1"/>
  <c r="L83" i="1"/>
  <c r="K83" i="1"/>
  <c r="J83" i="1"/>
  <c r="N82" i="1"/>
  <c r="M82" i="1"/>
  <c r="L82" i="1"/>
  <c r="K82" i="1"/>
  <c r="J82" i="1"/>
  <c r="N81" i="1"/>
  <c r="M81" i="1"/>
  <c r="L81" i="1"/>
  <c r="K81" i="1"/>
  <c r="J81" i="1"/>
  <c r="N80" i="1"/>
  <c r="M80" i="1"/>
  <c r="L80" i="1"/>
  <c r="K80" i="1"/>
  <c r="J80" i="1"/>
  <c r="N79" i="1"/>
  <c r="M79" i="1"/>
  <c r="L79" i="1"/>
  <c r="K79" i="1"/>
  <c r="J79" i="1"/>
  <c r="N75" i="1"/>
  <c r="N76" i="1" s="1"/>
  <c r="M75" i="1"/>
  <c r="M76" i="1" s="1"/>
  <c r="L75" i="1"/>
  <c r="L76" i="1" s="1"/>
  <c r="K75" i="1"/>
  <c r="K76" i="1" s="1"/>
  <c r="J75" i="1"/>
  <c r="J76" i="1" s="1"/>
  <c r="Y23" i="3" l="1"/>
  <c r="Y22" i="3"/>
  <c r="Y24" i="3"/>
  <c r="Y21" i="3"/>
  <c r="J80" i="2"/>
  <c r="I79" i="2"/>
  <c r="E14" i="4" s="1"/>
  <c r="G79" i="2"/>
  <c r="H80" i="2"/>
  <c r="G80" i="2"/>
  <c r="I80" i="2"/>
  <c r="J79" i="2"/>
  <c r="H79" i="2"/>
  <c r="G81" i="2"/>
  <c r="H81" i="2"/>
  <c r="I81" i="2"/>
  <c r="J81" i="2"/>
  <c r="Y25" i="3"/>
  <c r="F90" i="2"/>
  <c r="F78" i="2"/>
  <c r="F89" i="2"/>
  <c r="F88" i="2"/>
  <c r="F16" i="4"/>
  <c r="F14" i="4"/>
  <c r="F15" i="4"/>
  <c r="F12" i="4"/>
  <c r="F13" i="4"/>
  <c r="Z32" i="3"/>
  <c r="AC32" i="3"/>
  <c r="AB32" i="3"/>
  <c r="AA32" i="3"/>
  <c r="AA31" i="3"/>
  <c r="AB31" i="3"/>
  <c r="AC31" i="3"/>
  <c r="Z31" i="3"/>
  <c r="Z30" i="3"/>
  <c r="AA30" i="3"/>
  <c r="AB30" i="3"/>
  <c r="AC30" i="3"/>
  <c r="AA29" i="3"/>
  <c r="AB29" i="3"/>
  <c r="AC29" i="3"/>
  <c r="Z29" i="3"/>
  <c r="AA28" i="3"/>
  <c r="Z28" i="3"/>
  <c r="AC28" i="3"/>
  <c r="AB28" i="3"/>
  <c r="AB27" i="3"/>
  <c r="AC27" i="3"/>
  <c r="AA27" i="3"/>
  <c r="Z27" i="3"/>
  <c r="Z26" i="3"/>
  <c r="AC26" i="3"/>
  <c r="AB26" i="3"/>
  <c r="K85" i="2"/>
  <c r="C16" i="4" s="1"/>
  <c r="K84" i="2"/>
  <c r="I16" i="4" s="1"/>
  <c r="G16" i="4"/>
  <c r="E16" i="4"/>
  <c r="K83" i="2"/>
  <c r="H16" i="4" s="1"/>
  <c r="F95" i="2"/>
  <c r="J95" i="2" s="1"/>
  <c r="H48" i="4" s="1"/>
  <c r="F94" i="2"/>
  <c r="F93" i="2"/>
  <c r="F92" i="2"/>
  <c r="F91" i="2"/>
  <c r="J82" i="2" l="1"/>
  <c r="Z23" i="3"/>
  <c r="AA23" i="3"/>
  <c r="AB23" i="3"/>
  <c r="AC23" i="3"/>
  <c r="AC22" i="3"/>
  <c r="AB22" i="3"/>
  <c r="AA22" i="3"/>
  <c r="Z22" i="3"/>
  <c r="AB24" i="3"/>
  <c r="AC24" i="3"/>
  <c r="AA24" i="3"/>
  <c r="Z24" i="3"/>
  <c r="AC21" i="3"/>
  <c r="AB21" i="3"/>
  <c r="AA21" i="3"/>
  <c r="Z21" i="3"/>
  <c r="I82" i="2"/>
  <c r="H90" i="2"/>
  <c r="F43" i="4" s="1"/>
  <c r="J90" i="2"/>
  <c r="H43" i="4" s="1"/>
  <c r="I90" i="2"/>
  <c r="G43" i="4" s="1"/>
  <c r="G90" i="2"/>
  <c r="E43" i="4" s="1"/>
  <c r="I89" i="2"/>
  <c r="G42" i="4" s="1"/>
  <c r="J89" i="2"/>
  <c r="H42" i="4" s="1"/>
  <c r="H89" i="2"/>
  <c r="F42" i="4" s="1"/>
  <c r="G89" i="2"/>
  <c r="E42" i="4" s="1"/>
  <c r="G88" i="2"/>
  <c r="E41" i="4" s="1"/>
  <c r="J88" i="2"/>
  <c r="H41" i="4" s="1"/>
  <c r="H88" i="2"/>
  <c r="F41" i="4" s="1"/>
  <c r="I88" i="2"/>
  <c r="G41" i="4" s="1"/>
  <c r="H95" i="2"/>
  <c r="F48" i="4" s="1"/>
  <c r="I95" i="2"/>
  <c r="G48" i="4" s="1"/>
  <c r="G95" i="2"/>
  <c r="E48" i="4" s="1"/>
  <c r="J94" i="2"/>
  <c r="H47" i="4" s="1"/>
  <c r="H94" i="2"/>
  <c r="F47" i="4" s="1"/>
  <c r="G94" i="2"/>
  <c r="E47" i="4" s="1"/>
  <c r="I94" i="2"/>
  <c r="G47" i="4" s="1"/>
  <c r="I93" i="2"/>
  <c r="G46" i="4" s="1"/>
  <c r="H93" i="2"/>
  <c r="F46" i="4" s="1"/>
  <c r="G93" i="2"/>
  <c r="E46" i="4" s="1"/>
  <c r="J93" i="2"/>
  <c r="H46" i="4" s="1"/>
  <c r="H92" i="2"/>
  <c r="F45" i="4" s="1"/>
  <c r="I92" i="2"/>
  <c r="G45" i="4" s="1"/>
  <c r="J92" i="2"/>
  <c r="H45" i="4" s="1"/>
  <c r="G92" i="2"/>
  <c r="E45" i="4" s="1"/>
  <c r="J91" i="2"/>
  <c r="H44" i="4" s="1"/>
  <c r="I91" i="2"/>
  <c r="G44" i="4" s="1"/>
  <c r="H91" i="2"/>
  <c r="F44" i="4" s="1"/>
  <c r="G91" i="2"/>
  <c r="E44" i="4" s="1"/>
  <c r="G82" i="2"/>
  <c r="E12" i="4"/>
  <c r="G83" i="2"/>
  <c r="H12" i="4" s="1"/>
  <c r="E15" i="4"/>
  <c r="J83" i="2"/>
  <c r="H15" i="4" s="1"/>
  <c r="H82" i="2"/>
  <c r="G13" i="4" s="1"/>
  <c r="I83" i="2"/>
  <c r="H14" i="4" s="1"/>
  <c r="E13" i="4"/>
  <c r="H83" i="2"/>
  <c r="H13" i="4" s="1"/>
  <c r="AA26" i="3"/>
  <c r="AA25" i="3"/>
  <c r="Z25" i="3"/>
  <c r="AB25" i="3"/>
  <c r="AC25" i="3"/>
  <c r="C34" i="3"/>
  <c r="G78" i="2"/>
  <c r="H78" i="2"/>
  <c r="I78" i="2"/>
  <c r="J78" i="2"/>
  <c r="K78" i="2"/>
  <c r="J84" i="2" l="1"/>
  <c r="I15" i="4" s="1"/>
  <c r="G15" i="4"/>
  <c r="J85" i="2"/>
  <c r="C15" i="4" s="1"/>
  <c r="G14" i="4"/>
  <c r="I85" i="2"/>
  <c r="C14" i="4" s="1"/>
  <c r="I84" i="2"/>
  <c r="I14" i="4" s="1"/>
  <c r="B7" i="4"/>
  <c r="G85" i="2"/>
  <c r="C12" i="4" s="1"/>
  <c r="G12" i="4"/>
  <c r="G84" i="2"/>
  <c r="I12" i="4" s="1"/>
  <c r="H84" i="2"/>
  <c r="I13" i="4" s="1"/>
  <c r="H85" i="2"/>
  <c r="C13" i="4" s="1"/>
  <c r="C36" i="3"/>
  <c r="L8" i="4" s="1"/>
  <c r="C39" i="3"/>
  <c r="C35" i="3"/>
  <c r="L7" i="4" s="1"/>
  <c r="C37" i="3"/>
  <c r="L6" i="4"/>
  <c r="B8" i="4" l="1"/>
  <c r="L9" i="4"/>
  <c r="C38" i="3"/>
  <c r="L10" i="4" s="1"/>
</calcChain>
</file>

<file path=xl/sharedStrings.xml><?xml version="1.0" encoding="utf-8"?>
<sst xmlns="http://schemas.openxmlformats.org/spreadsheetml/2006/main" count="686" uniqueCount="395">
  <si>
    <t>معايير التأهيل المسبق لمقاولي الباطن وأوزانها حسب مجموعة الأعمال</t>
  </si>
  <si>
    <t>المرجع الفني للمعايير التقنية: كتاب الإشراف الهندسي وأصول التنفيذ لمشروعات المباني، م. يسري أحمد عبد الرحيم، ط4 2018 (صياغة ملخصة، أرقام الصفحات للإحالة). المرجع الملزم مواصفات العقد والكود المعتمد بالمشروع.</t>
  </si>
  <si>
    <t>المبدعون العرب للاستشارات الهندسية ACE، إدارة المشروعات والإشراف. إعداد: م/ أحمد فتحي، مدير المشاريع. الإصدار v1 بتاريخ 2026-10-05</t>
  </si>
  <si>
    <t>الدرجة</t>
  </si>
  <si>
    <t>دلالة الدرجة (مقياس 0 إلى 5)</t>
  </si>
  <si>
    <t>ملاحظات الاستخدام</t>
  </si>
  <si>
    <t>غير مقدم أو غير مطابق</t>
  </si>
  <si>
    <t>1. الأوزان بالأعمدة J إلى N مدخلات (أزرق) ويجب أن يساوي مجموع كل عمود 100.</t>
  </si>
  <si>
    <t>ضعيف جدا، دليل ناقص</t>
  </si>
  <si>
    <t>2. المعيار الإلزامي: درجة 0 فيه تجعل المقاول غير مؤهل مهما كانت النتيجة الإجمالية.</t>
  </si>
  <si>
    <t>ضعيف، يحتاج تعزيزا جوهريا</t>
  </si>
  <si>
    <t>3. التطبيق: السعودية أو مصر أو الكل، ويستبعد المعيار تلقائيا من التقييم إذا لم ينطبق على دولة المشروع.</t>
  </si>
  <si>
    <t>مقبول، يحقق الحد الأدنى</t>
  </si>
  <si>
    <t>4. المعايير الفنية (T) مستخلصة من نقاط التوقف والاختبارات الأهم لكل تخصص، والمرجع برقم صفحة الكتاب.</t>
  </si>
  <si>
    <t>جيد، يتجاوز الحد الأدنى</t>
  </si>
  <si>
    <t>5. الوزن المفترض لكل فئة قابل للتعديل حسب طبيعة الحزمة، وحالة الضبط تظهر في الصف الأخير.</t>
  </si>
  <si>
    <t>ممتاز، دليل كامل وخبرة مثبتة</t>
  </si>
  <si>
    <t>م</t>
  </si>
  <si>
    <t>الكود</t>
  </si>
  <si>
    <t>الفئة</t>
  </si>
  <si>
    <t>المجموعة</t>
  </si>
  <si>
    <t>المعيار</t>
  </si>
  <si>
    <t>الدليل أو المستند المطلوب</t>
  </si>
  <si>
    <t>التطبيق</t>
  </si>
  <si>
    <t>إلزامي</t>
  </si>
  <si>
    <t>المرجع الفني</t>
  </si>
  <si>
    <t>إنشائي ومدني</t>
  </si>
  <si>
    <t>تشطيبات</t>
  </si>
  <si>
    <t>كهروميكانيك MEP</t>
  </si>
  <si>
    <t>عزل مائي وحراري</t>
  </si>
  <si>
    <t>واجهات</t>
  </si>
  <si>
    <t>LEG-01</t>
  </si>
  <si>
    <t>الوثائق النظامية</t>
  </si>
  <si>
    <t>عام لكل التخصصات</t>
  </si>
  <si>
    <t>سجل تجاري ساري المفعول ونشاطه يغطي نطاق الأعمال المطروحة</t>
  </si>
  <si>
    <t>صورة السجل التجاري (السعودية) أو السجل التجاري المصري</t>
  </si>
  <si>
    <t>الكل</t>
  </si>
  <si>
    <t>نعم</t>
  </si>
  <si>
    <t>LEG-02</t>
  </si>
  <si>
    <t>التسجيل الضريبي ساري</t>
  </si>
  <si>
    <t>شهادة تسجيل ضريبة القيمة المضافة (السعودية) أو البطاقة الضريبية وشهادة القيمة المضافة (مصر)</t>
  </si>
  <si>
    <t>LEG-03</t>
  </si>
  <si>
    <t>تصنيف المقاولين في المجال والدرجة المناسبين لقيمة الأعمال</t>
  </si>
  <si>
    <t>شهادة تصنيف المقاولين وعضوية الهيئة السعودية للمقاولين (السعودية) أو قيد الاتحاد المصري لمقاولي التشييد والبناء بالفئة المناسبة (مصر)</t>
  </si>
  <si>
    <t>LEG-04</t>
  </si>
  <si>
    <t>شهادة التأمينات الاجتماعية سارية</t>
  </si>
  <si>
    <t>شهادة المؤسسة العامة للتأمينات الاجتماعية GOSI (السعودية) أو شهادة الهيئة القومية للتأمين الاجتماعي (مصر)</t>
  </si>
  <si>
    <t>LEG-05</t>
  </si>
  <si>
    <t>شهادة الزكاة والدخل سارية</t>
  </si>
  <si>
    <t>شهادة هيئة الزكاة والضريبة والجمارك ZATCA</t>
  </si>
  <si>
    <t>السعودية</t>
  </si>
  <si>
    <t>LEG-06</t>
  </si>
  <si>
    <t>عضوية الغرفة التجارية وشهادة الالتزام بنسب التوطين</t>
  </si>
  <si>
    <t>شهادة الغرفة التجارية، وشهادة نطاقات (السعودية)</t>
  </si>
  <si>
    <t>لا</t>
  </si>
  <si>
    <t>FIN-01</t>
  </si>
  <si>
    <t>الملاءة المالية</t>
  </si>
  <si>
    <t>قوائم مالية مدققة لآخر ثلاث سنوات دون تحفظات جوهرية</t>
  </si>
  <si>
    <t>القوائم المالية المعتمدة من محاسب قانوني</t>
  </si>
  <si>
    <t>FIN-02</t>
  </si>
  <si>
    <t>متوسط حجم الأعمال السنوي لا يقل عن ضعف قيمة أعمال الحزمة</t>
  </si>
  <si>
    <t>القوائم المالية وجدول الإيرادات</t>
  </si>
  <si>
    <t>FIN-03</t>
  </si>
  <si>
    <t>نسبة السيولة (الأصول المتداولة إلى الخصوم المتداولة) 1.2 فأكثر</t>
  </si>
  <si>
    <t>الميزانية العمومية لآخر سنة</t>
  </si>
  <si>
    <t>FIN-04</t>
  </si>
  <si>
    <t>قدرة على إصدار الضمانات البنكية (ابتدائي، نهائي، دفعة مقدمة) وتسهيلات ائتمانية كافية</t>
  </si>
  <si>
    <t>خطاب من البنك بالتسهيلات المتاحة</t>
  </si>
  <si>
    <t>EXP-01</t>
  </si>
  <si>
    <t>الخبرة السابقة</t>
  </si>
  <si>
    <t>عدد المشروعات المماثلة المنفذة خلال آخر 5 سنوات (3 مشروعات على الأقل)</t>
  </si>
  <si>
    <t>جدول الخبرات مع العقود أو أوامر التكليف</t>
  </si>
  <si>
    <t>EXP-02</t>
  </si>
  <si>
    <t>قيمة أكبر مشروع مماثل منفذ لا تقل عن قيمة الحزمة المطروحة</t>
  </si>
  <si>
    <t>عقد المشروع وشهادة الإنجاز</t>
  </si>
  <si>
    <t>EXP-03</t>
  </si>
  <si>
    <t>شهادات إنجاز وخطابات تقييم إيجابية من الملاك أو الاستشاريين</t>
  </si>
  <si>
    <t>شهادات الإنجاز وخطابات المرجعية</t>
  </si>
  <si>
    <t>EXP-04</t>
  </si>
  <si>
    <t>حجم الأعمال الجارية والقدرة الاستيعابية المتبقية لتنفيذ الحزمة</t>
  </si>
  <si>
    <t>جدول الأعمال الجارية ونسب الإنجاز</t>
  </si>
  <si>
    <t>STF-01</t>
  </si>
  <si>
    <t>الجهاز الفني</t>
  </si>
  <si>
    <t>مدير مشروع ومهندس موقع مؤهلان بخبرة مناسبة ومسجلان مهنيا</t>
  </si>
  <si>
    <t>السير الذاتية وعضوية الهيئة السعودية للمهندسين أو نقابة المهندسين المصرية</t>
  </si>
  <si>
    <t>STF-02</t>
  </si>
  <si>
    <t>مهندس جودة QA/QC متفرغ للمشروع</t>
  </si>
  <si>
    <t>السيرة الذاتية وشهادات التدريب</t>
  </si>
  <si>
    <t>STF-03</t>
  </si>
  <si>
    <t>مسؤول سلامة متفرغ بشهادة معتمدة (NEBOSH أو OSHA أو ما يعادلها)</t>
  </si>
  <si>
    <t>السيرة الذاتية والشهادة</t>
  </si>
  <si>
    <t>STF-04</t>
  </si>
  <si>
    <t>عمالة فنية ماهرة على كفالة الشركة أو مسجلة بها تكفي لذروة الأعمال</t>
  </si>
  <si>
    <t>كشف العمالة من نظام التأمينات أو قوى</t>
  </si>
  <si>
    <t>EQP-01</t>
  </si>
  <si>
    <t>المعدات وأدوات القياس</t>
  </si>
  <si>
    <t>معدات مملوكة أو مؤجرة بعقود مناسبة للتخصص وبحالة تشغيلية جيدة</t>
  </si>
  <si>
    <t>كشف المعدات مع إثبات الملكية أو الإيجار</t>
  </si>
  <si>
    <t>EQP-02</t>
  </si>
  <si>
    <t>أدوات قياس واختبار بالموقع بشهادات معايرة سارية</t>
  </si>
  <si>
    <t>شهادات المعايرة (ميزان قامة، توتال ستيشن، أجهزة ضغط، ميجر، قياس رطوبة)</t>
  </si>
  <si>
    <t>QAC-01</t>
  </si>
  <si>
    <t>نظام الجودة QA/QC</t>
  </si>
  <si>
    <t>نظام جودة موثق (ISO 9001 أو دليل جودة معتمد داخليا)</t>
  </si>
  <si>
    <t>شهادة ISO 9001 أو دليل الجودة</t>
  </si>
  <si>
    <t>QAC-02</t>
  </si>
  <si>
    <t>نماذج Method Statements وخطط الفحص والاختبار ITP لمشروعات سابقة</t>
  </si>
  <si>
    <t>نماذج معتمدة من استشاريين سابقين</t>
  </si>
  <si>
    <t>QAC-03</t>
  </si>
  <si>
    <t>سجل طلبات الاستلام وتقارير عدم المطابقة في مشروعات سابقة (نسبة القبول من أول مرة)</t>
  </si>
  <si>
    <t>سجل IR وNCR أو خطاب من الاستشاري</t>
  </si>
  <si>
    <t>HSE-01</t>
  </si>
  <si>
    <t>السلامة والصحة المهنية HSE</t>
  </si>
  <si>
    <t>خطة سلامة وصحة مهنية موثقة أو شهادة ISO 45001</t>
  </si>
  <si>
    <t>خطة HSE أو الشهادة</t>
  </si>
  <si>
    <t>HSE-02</t>
  </si>
  <si>
    <t>سجل الحوادث لآخر 3 سنوات (LTIFR) وخلوه من الوفيات</t>
  </si>
  <si>
    <t>إحصائيات السلامة موقعة من الإدارة</t>
  </si>
  <si>
    <t>HSE-03</t>
  </si>
  <si>
    <t>برامج التدريب والتوعية وسجلات اجتماعات السلامة اليومية</t>
  </si>
  <si>
    <t>سجلات التدريب وToolbox Talks</t>
  </si>
  <si>
    <t>CIV-T1</t>
  </si>
  <si>
    <t>القدرة الفنية للتخصص</t>
  </si>
  <si>
    <t>توريد خرسانة من محطة معتمدة بموازين معايرة وإجراء 3 خلطات تجريبية تأكيدية لكل رتبة قبل التوريد</t>
  </si>
  <si>
    <t>شهادة معايرة المحطة ونتائج الخلطات التجريبية</t>
  </si>
  <si>
    <t>ص 16، 42</t>
  </si>
  <si>
    <t>CIV-T2</t>
  </si>
  <si>
    <t>التحكم في الخرسانة الطازجة عند الاستلام: هبوط مطابق للخلطة لكل 50 م3، حرارة لا تتجاوز 32 درجة (35 درجة حدا أقصى حسب الكود المصري ما لم تنص المواصفات على غير ذلك)، و6 مكعبات لأول 50 م3 ثم 6 لكل 100 م3 ولكل رتبة وعنصر ويوم صب</t>
  </si>
  <si>
    <t>إجراء الاستلام بالموقع وسجلات العينات</t>
  </si>
  <si>
    <t>ص 64، 66، ملحق مصور ص 10 إلى 12</t>
  </si>
  <si>
    <t>CIV-T3</t>
  </si>
  <si>
    <t>تحقيق معايير قبول مقاومة 28 يوما، والالتزام عند عدم المطابقة بإجراء اختبار القلب (3 قلوب على الأقل للعنصر) ثم اختبار التحميل بعد 6 أسابيع من الصب على نفقته</t>
  </si>
  <si>
    <t>نتائج مكعبات لمشروعات سابقة</t>
  </si>
  <si>
    <t>ص 46 إلى 49</t>
  </si>
  <si>
    <t>CIV-T4</t>
  </si>
  <si>
    <t>تقديم شهادات مصنع الحديد مع اختبارات الشد والثني لكل قطر ودفعة، واختبار الوصلات الميكانيكية والملحومة للأقطار 28 مم فأكثر عند 125% من إجهاد الخضوع</t>
  </si>
  <si>
    <t>نموذج خطة اختبارات الحديد</t>
  </si>
  <si>
    <t>ص 39 إلى 41، 81، 130</t>
  </si>
  <si>
    <t>CIV-T5</t>
  </si>
  <si>
    <t>تسليم الحديد كنقطة توقف قبل الصب: الوصلات بالتبادل بحد أقصى 25% من المساحة في القطاع وتباعد 1.3 طول التماسك، تكثيف الكانات، والغطاء ببسكوت ومباعدات</t>
  </si>
  <si>
    <t>Method Statement للحدادة</t>
  </si>
  <si>
    <t>ص 81، 107، 125، 129</t>
  </si>
  <si>
    <t>CIV-T6</t>
  </si>
  <si>
    <t>تصميم إنشائي للشدات للأسقف الثقيلة، واستلام أفقية شدة البلاطات في حدود 5 مم لكل 3 م، والفك المبكر عند 70% من مقاومة 28 يوما (75% من الرتبة في المواصفات السعودية) بعينات معالجة بجوار العنصر</t>
  </si>
  <si>
    <t>حسابات الشدات وإجراء الفك</t>
  </si>
  <si>
    <t>ص 115، 120، ملحق مصور ص 18 إلى 20</t>
  </si>
  <si>
    <t>CIV-T7</t>
  </si>
  <si>
    <t>دمك الردم والإحلال على طبقات 20 إلى 25 سم بنسبة لا تقل عن 95% مع اختبار كثافة حقلية لكل 100 م2 لكل طبقة (3 اختبارات على الأقل)</t>
  </si>
  <si>
    <t>Method Statement للردم ونتائج سابقة</t>
  </si>
  <si>
    <t>ص 50، 60، 61، 95</t>
  </si>
  <si>
    <t>CIV-T8</t>
  </si>
  <si>
    <t>رأسية الأعمدة في حدود 5 مم لكل 6 م بعد الفك، وتطبيق احتياطات الصب في الطقس الحار حسب ACI 305 عند تجاوز حرارة الجو 36 درجة في الظل</t>
  </si>
  <si>
    <t>إجراء الصب في الطقس الحار</t>
  </si>
  <si>
    <t>ص 64، 111، 132</t>
  </si>
  <si>
    <t>FIN-T1</t>
  </si>
  <si>
    <t>مطابقة البلوك والمونة لاختبارات القبول: البلوك المفرغ 35.2 كجم/سم2 للعينة و42.2 كجم/سم2 للمتوسط، ومكعبات مونة 3 عينات لكل 2000 وحدة</t>
  </si>
  <si>
    <t>نتائج اختبارات مواد مشروعات سابقة</t>
  </si>
  <si>
    <t>ص 160 إلى 161</t>
  </si>
  <si>
    <t>FIN-T2</t>
  </si>
  <si>
    <t>تنفيذ المباني بارتفاع لا يزيد عن 1.2 م في الدفعة، وأسياخ ربط بالأعمدة كل 50 سم، وفاصل مرن 12 إلى 25 مم أسفل الكمرات، وعدم استخدام المونة بعد ساعة من خلطها مع اختبار فيكات إذا تجاوزت 30 دقيقة</t>
  </si>
  <si>
    <t>Method Statement للمباني</t>
  </si>
  <si>
    <t>ص 162 إلى 165، 379</t>
  </si>
  <si>
    <t>FIN-T3</t>
  </si>
  <si>
    <t>استواء اللياسة بحد أقصى 3 مم تحت قدة 3 م وخلوها من التطبيل، مع شبك عند التقاء الخرسانة بالمباني وأوتار لا تتباعد أكثر من 2 م</t>
  </si>
  <si>
    <t>Method Statement للياسة</t>
  </si>
  <si>
    <t>ص 176، ملحق مصور ص 29 إلى 33</t>
  </si>
  <si>
    <t>FIN-T4</t>
  </si>
  <si>
    <t>تركيب البلاط والسيراميك دون تطبيل عند الطرق، وتغطية ظهر بلاط الحوائط 80% على الأقل و100% بالمناطق الرطبة، واختبار ميول أرضيات الحمامات بالماء</t>
  </si>
  <si>
    <t>Method Statement للتبليط</t>
  </si>
  <si>
    <t>ص 182، 185، 296</t>
  </si>
  <si>
    <t>FIN-T5</t>
  </si>
  <si>
    <t>قياس رطوبة اللياسة قبل الدهان بحد أقصى 12% وقياس سمك الدهان الرطب والجاف لكل طبقة</t>
  </si>
  <si>
    <t>إجراء الدهان وأجهزة القياس</t>
  </si>
  <si>
    <t>ص 202، ملحق مصور ص 43</t>
  </si>
  <si>
    <t>FIN-T6</t>
  </si>
  <si>
    <t>استلام الأسقف المستعارة بشد الخيوط والتحقق من عدم الترخيم وثبات المنسوب</t>
  </si>
  <si>
    <t>Method Statement للأسقف المستعارة</t>
  </si>
  <si>
    <t>ص 192</t>
  </si>
  <si>
    <t>FIN-T7</t>
  </si>
  <si>
    <t>خلوص ضلف الأبواب مع الحلوق 0.8 مم رأسي و1.5 مم أفقي، ومحتوى رطوبة الخشب قبل الدهان لا يزيد عن 12% للمعرض للجو و18% لغير المعرض</t>
  </si>
  <si>
    <t>عينات معتمدة وإجراء التركيب</t>
  </si>
  <si>
    <t>ص 195 إلى 196، ملحق مصور ص 34 إلى 35</t>
  </si>
  <si>
    <t>MEP-T1</t>
  </si>
  <si>
    <t>اختبار مواسير الصرف بالماء قبل التغطية بعمود ماء 3 م دون تسريب، وثبات المنسوب 15 دقيقة لخطوط الصرف بالجاذبية</t>
  </si>
  <si>
    <t>إجراء الاختبار ونماذج محاضر سابقة</t>
  </si>
  <si>
    <t>ص 225، 236</t>
  </si>
  <si>
    <t>MEP-T2</t>
  </si>
  <si>
    <t>اختبار ضغط مواسير التغذية عند 1.5 مرة ضغط التشغيل (المعتاد 8 بار) دون هبوط، وتعقيم الشبكة والخزانات بمحلول كلور 50 مجم/لتر لمدة 24 ساعة قبل التشغيل</t>
  </si>
  <si>
    <t>إجراء الاختبار والتعقيم</t>
  </si>
  <si>
    <t>ص 229، 231</t>
  </si>
  <si>
    <t>MEP-T3</t>
  </si>
  <si>
    <t>جرابات معدنية لكل ماسورة تخترق عنصرا خرسانيا بخلوص مناسب، وميول صرف أفقي 1:100 على الأقل للأقطار حتى 4 بوصة</t>
  </si>
  <si>
    <t>Method Statement للتأسيس الصحي</t>
  </si>
  <si>
    <t>ص 222 إلى 223</t>
  </si>
  <si>
    <t>MEP-T4</t>
  </si>
  <si>
    <t>تنفيذ تسلسل اختبارات التركيبات الكهربائية: الاستمرارية، قطب التأريض، مقاومة العزل، القطبية، معاوقة حلقة الخطأ الأرضي، وأداء قواطع التسرب</t>
  </si>
  <si>
    <t>نماذج تقارير اختبار وأجهزة معايرة</t>
  </si>
  <si>
    <t>ص 301</t>
  </si>
  <si>
    <t>MEP-T5</t>
  </si>
  <si>
    <t>حماية دوائر المقابس والأماكن الرطبة بقاطع تسرب 30 مللي أمبير، وغطاء خرساني 40 مم للمواسير المدفونة ومنع دفنها في بلاطات أقل من 100 مم</t>
  </si>
  <si>
    <t>Method Statement للتأسيس الكهربائي</t>
  </si>
  <si>
    <t>ص 131، 244، 253</t>
  </si>
  <si>
    <t>MEP-T6</t>
  </si>
  <si>
    <t>الاختبار الهيدروستاتيكي لشبكة الحريق بضغط التصميم مضافا إليه 3.5 بار وبحد أدنى 14 بار لمدة ساعتين دون فقد، ولا يقل عن 13.8 بار حسب NFPA 13</t>
  </si>
  <si>
    <t>إجراء الاختبار حسب SBC 801 وNFPA 13</t>
  </si>
  <si>
    <t>ص 285، 298</t>
  </si>
  <si>
    <t>MEP-T7</t>
  </si>
  <si>
    <t>اختبار نظام الإنذار: الكواشف لكل منطقة، إنذار مفتاح التدفق خلال 90 ثانية، وشدة الصوت 15 ديسيبل فوق ضوضاء المكان على الأقل</t>
  </si>
  <si>
    <t>خطة التشغيل التجريبي</t>
  </si>
  <si>
    <t>ص 268، 302</t>
  </si>
  <si>
    <t>MEP-T8</t>
  </si>
  <si>
    <t>اختبار تسرب مجاري الهواء قبل العزل، واختبار المياه المثلجة عند 1.5 مرة ضغط التشغيل لمدة 24 ساعة، وتنفيذ الضبط والموازنة TAB وصمامات الحريق</t>
  </si>
  <si>
    <t>إجراءات الاختبار وشهادة مقاول TAB</t>
  </si>
  <si>
    <t>ص 275، 278 إلى 281</t>
  </si>
  <si>
    <t>WP-T1</t>
  </si>
  <si>
    <t>اختبار البيتومين لكل توريد (نقطة الوميض، نقطة التليين، الاختراق)، واختبارات اللفائف (السمك، الشد والاستطالة، التمزق، مقاومة الحرارة) لكل 10,000 م2</t>
  </si>
  <si>
    <t>شهادات المصنع وخطة اختبارات المواد</t>
  </si>
  <si>
    <t>ص 91، 177</t>
  </si>
  <si>
    <t>WP-T2</t>
  </si>
  <si>
    <t>بدء عزل الأساسات بعد انتهاء معالجة آخر عنصر (7 أيام) ودهان بيتوميني طبقتين للأوجه الملاصقة للتربة قبل الردم</t>
  </si>
  <si>
    <t>Method Statement لعزل الأساسات</t>
  </si>
  <si>
    <t>ص 91، 362</t>
  </si>
  <si>
    <t>WP-T3</t>
  </si>
  <si>
    <t>اختبار غمر عزل حوائط البدروم بالردم حتى نصف الارتفاع والتشبع لمدة أسبوع دون رشح للداخل</t>
  </si>
  <si>
    <t>إجراء الاختبار</t>
  </si>
  <si>
    <t>ص 92</t>
  </si>
  <si>
    <t>WP-T4</t>
  </si>
  <si>
    <t>اختبار الغمر للحمامات والأسطح بارتفاع 10 إلى 15 سم لمدة 48 ساعة (الأسطح 48 إلى 72 ساعة) دون تسريب</t>
  </si>
  <si>
    <t>نماذج محاضر اختبار سابقة</t>
  </si>
  <si>
    <t>ص 178 إلى 179</t>
  </si>
  <si>
    <t>WP-T5</t>
  </si>
  <si>
    <t>تراكب لفائف العزل 10 سم طوليا و15 سم عرضيا مع اتجاه سريان المياه وفحص اللحامات</t>
  </si>
  <si>
    <t>Method Statement لعزل الأسطح</t>
  </si>
  <si>
    <t>ص 145 إلى 146، ملحق مصور ص 40 إلى 41</t>
  </si>
  <si>
    <t>WP-T6</t>
  </si>
  <si>
    <t>ميول الأسطح 1% ولا تقل عن 3 مم/م، ورفع العزل 400 مم على الدروة مع Flashing، وتثبيت الجرجوري في أوطى نقطة قبل العزل</t>
  </si>
  <si>
    <t>تفاصيل التنفيذ المقترحة</t>
  </si>
  <si>
    <t>ص 179، 231، 378، ملحق مصور ص 39</t>
  </si>
  <si>
    <t>WP-T7</t>
  </si>
  <si>
    <t>معالجة اختراقات المواسير بجلبة وFlashing مرفوع 300 مم، ورفع عزل الحوائط الساندة 300 مم فوق أعلى منسوب للمياه الجوفية</t>
  </si>
  <si>
    <t>ص 92، 389</t>
  </si>
  <si>
    <t>FAC-T1</t>
  </si>
  <si>
    <t>اختبارات أداء الحوائط الستائرية: نفاذية الماء والهواء وتحمل ضغط الرياح والعزل الحراري والصوتي حسب المواصفات</t>
  </si>
  <si>
    <t>تقارير اختبار معملية للنظام المقترح</t>
  </si>
  <si>
    <t>ص 214</t>
  </si>
  <si>
    <t>FAC-T2</t>
  </si>
  <si>
    <t>اختبار تسليط الماء المضغوط من الخارج على الشبابيك والأبواب الألومنيوم والواجهات الزجاجية خاصة مناطق التجميع دون تسرب للداخل</t>
  </si>
  <si>
    <t>إجراء الاختبار بالموقع</t>
  </si>
  <si>
    <t>ص 295</t>
  </si>
  <si>
    <t>FAC-T3</t>
  </si>
  <si>
    <t>سمك طبقة الأنودة للألومنيوم من 12 إلى 25 ميكرون حسب درجة تلوث الجو (22 إلى 25 ميكرون للمناطق الساحلية)، مع اختبار عينات عشوائية بمعمل متخصص</t>
  </si>
  <si>
    <t>شهادات المصنع وتقارير المعمل</t>
  </si>
  <si>
    <t>ص 211</t>
  </si>
  <si>
    <t>FAC-T4</t>
  </si>
  <si>
    <t>سمك الزجاج حسب مساحة اللوح: 4 مم حتى 0.50 م2، و6 مم حتى 3.30 م2، و8 مم فأكثر للأكبر أو حسب حسابات الرياح، مع فحص عينات عشوائية</t>
  </si>
  <si>
    <t>حسابات الزجاج وشهادات المورد</t>
  </si>
  <si>
    <t>FAC-T5</t>
  </si>
  <si>
    <t>التثبيت الميكانيكي للتكسيات الحجرية بمسامير ستانلس بعمق 2 بوصة على الأقل في الخرسانة، ولوح تعليق معدني بعرض 50 مم على الأقل عند التثبيت بباطن البلاطات</t>
  </si>
  <si>
    <t>تفاصيل التثبيت وحسابات المثبتات</t>
  </si>
  <si>
    <t>ص 385، 390</t>
  </si>
  <si>
    <t>FAC-T6</t>
  </si>
  <si>
    <t>أبواب مقاومة للحريق بشهادة اختبار معتمدة تناسب مقاومة الجدار وفق NFPA 252 أو UL 10C بدلا من ASTM E152 المسحوبة، وتثبيت الحلوق بثلاثة مسامير على الأقل بكل جانب ومسمارين بالعتب</t>
  </si>
  <si>
    <t>شهادات الاختبار والاعتماد</t>
  </si>
  <si>
    <t>ص 200</t>
  </si>
  <si>
    <t>FAC-T7</t>
  </si>
  <si>
    <t>ارتفاع درابزين الدرج الصافي بعد التشطيب من 870 إلى 970 مم ويمتد 300 مم عند بداية الدرج ونهايته، مع تثبيت آمن</t>
  </si>
  <si>
    <t>تفاصيل الدرابزين</t>
  </si>
  <si>
    <t>ص 216</t>
  </si>
  <si>
    <t>مجموع الأوزان (يجب أن يساوي 100)</t>
  </si>
  <si>
    <t>حالة الضبط</t>
  </si>
  <si>
    <t>وزن الفئة حسب المجموعة (معادلات)</t>
  </si>
  <si>
    <t>تقييم التأهيل المسبق لمقاولي الباطن (حتى 5 متقدمين)</t>
  </si>
  <si>
    <t>الدرجات من 0 إلى 5 لكل معيار، والأوزان مسحوبة من ورقة Criteria حسب مجموعة الأعمال ودولة المشروع.</t>
  </si>
  <si>
    <t>المشروع</t>
  </si>
  <si>
    <t>اسم المشروع</t>
  </si>
  <si>
    <t>مفتاح الألوان: أزرق على أصفر = مدخلات، أسود = معادلات، أخضر = مرتبط بورقة أخرى. الصفوف الرمادية لا تدخل في تقييم الحزمة المختارة.</t>
  </si>
  <si>
    <t>مجموعة الأعمال (الحزمة)</t>
  </si>
  <si>
    <t>دولة المشروع</t>
  </si>
  <si>
    <t>درجة النجاح (مؤهل)</t>
  </si>
  <si>
    <t>حد التأهيل بشروط</t>
  </si>
  <si>
    <t>تاريخ التقييم</t>
  </si>
  <si>
    <t>2026-10-05</t>
  </si>
  <si>
    <t>المقيم</t>
  </si>
  <si>
    <t>م/ أحمد فتحي، مدير المشاريع</t>
  </si>
  <si>
    <t>اسم المتقدم</t>
  </si>
  <si>
    <t>الوزن الفعلي</t>
  </si>
  <si>
    <t>المتقدم 1</t>
  </si>
  <si>
    <t>المتقدم 2</t>
  </si>
  <si>
    <t>المتقدم 3</t>
  </si>
  <si>
    <t>المتقدم 4</t>
  </si>
  <si>
    <t>المتقدم 5</t>
  </si>
  <si>
    <t>مجموع الأوزان الفعلية</t>
  </si>
  <si>
    <t>النتيجة الموزونة %</t>
  </si>
  <si>
    <t>بنود موزونة لم تقيم</t>
  </si>
  <si>
    <t>إخفاق في معيار إلزامي</t>
  </si>
  <si>
    <t>القرار</t>
  </si>
  <si>
    <t>الترتيب العام</t>
  </si>
  <si>
    <t>سبب القرار</t>
  </si>
  <si>
    <t>الترتيب بين المؤهلين</t>
  </si>
  <si>
    <t>النتيجة حسب الفئة</t>
  </si>
  <si>
    <t>وزن الفئة</t>
  </si>
  <si>
    <t>أعد التقييم</t>
  </si>
  <si>
    <t>التوقيع والتاريخ</t>
  </si>
  <si>
    <t>اعتماد المالك أو ممثله</t>
  </si>
  <si>
    <t>التقييم الشهري لأداء مقاول الباطن أثناء التنفيذ (12 شهرا)</t>
  </si>
  <si>
    <t>أدخل البيانات الشهرية بالخلايا الزرقاء بالتتابع من الشهر الأول، ويحتسب الشهر عند اكتمال كل مدخلاته. لتقييم أكثر من مقاول انسخ الورقة.</t>
  </si>
  <si>
    <t>اسم مقاول الباطن</t>
  </si>
  <si>
    <t>اسم المقاول</t>
  </si>
  <si>
    <t>مجموعة الأعمال</t>
  </si>
  <si>
    <t>المشروع والحزمة</t>
  </si>
  <si>
    <t>شهر بداية التقييم</t>
  </si>
  <si>
    <t>مؤشر الأداء KPI</t>
  </si>
  <si>
    <t>الوحدة</t>
  </si>
  <si>
    <t>قيمة الدرجة 100</t>
  </si>
  <si>
    <t>قيمة الدرجة 0</t>
  </si>
  <si>
    <t>الوزن</t>
  </si>
  <si>
    <t>التقدير</t>
  </si>
  <si>
    <t>الحد الأدنى للدرجة</t>
  </si>
  <si>
    <t>الدلالة</t>
  </si>
  <si>
    <t>نسبة قبول طلبات الاستلام من أول مرة IR</t>
  </si>
  <si>
    <t>%</t>
  </si>
  <si>
    <t>A</t>
  </si>
  <si>
    <t>أداء متميز، أولوية في الترسية القادمة</t>
  </si>
  <si>
    <t>عدد تقارير عدم المطابقة NCR بالشهر</t>
  </si>
  <si>
    <t>عدد</t>
  </si>
  <si>
    <t>B</t>
  </si>
  <si>
    <t>أداء مقبول مع ملاحظات</t>
  </si>
  <si>
    <t>متوسط أيام إغلاق NCR</t>
  </si>
  <si>
    <t>يوم</t>
  </si>
  <si>
    <t>C</t>
  </si>
  <si>
    <t>أداء ضعيف، خطة تصحيحية خلال أسبوعين</t>
  </si>
  <si>
    <t>انحراف الجدول الزمني (الفعلي ناقص المخطط)</t>
  </si>
  <si>
    <t>نقطة %</t>
  </si>
  <si>
    <t>D</t>
  </si>
  <si>
    <t>أداء غير مقبول، إنذار وإعادة نظر في التعاقد</t>
  </si>
  <si>
    <t>حوادث السلامة المسجلة</t>
  </si>
  <si>
    <t>كفاية العمالة (الفعلية إلى المخططة)</t>
  </si>
  <si>
    <t>النظافة والترتيب بالموقع Housekeeping</t>
  </si>
  <si>
    <t>0 إلى 5</t>
  </si>
  <si>
    <t>مجموع الأوزان</t>
  </si>
  <si>
    <t>البيانات الشهرية (مدخلات) والمؤشرات المحسوبة</t>
  </si>
  <si>
    <t>الشهر</t>
  </si>
  <si>
    <t>شهر التقييم</t>
  </si>
  <si>
    <t>IR مقدمة</t>
  </si>
  <si>
    <t>IR مقبولة أول مرة</t>
  </si>
  <si>
    <t>NCR صادرة</t>
  </si>
  <si>
    <t>NCR مغلقة</t>
  </si>
  <si>
    <t>متوسط أيام الإغلاق</t>
  </si>
  <si>
    <t>الإنجاز المخطط تراكمي</t>
  </si>
  <si>
    <t>الإنجاز الفعلي تراكمي</t>
  </si>
  <si>
    <t>حوادث مسجلة</t>
  </si>
  <si>
    <t>العمالة المخططة</t>
  </si>
  <si>
    <t>العمالة الفعلية</t>
  </si>
  <si>
    <t>Housekeeping 0 إلى 5</t>
  </si>
  <si>
    <t>نسبة IR أول مرة</t>
  </si>
  <si>
    <t>انحراف الجدول</t>
  </si>
  <si>
    <t>كفاية العمالة</t>
  </si>
  <si>
    <t>NCR مفتوحة تراكمي</t>
  </si>
  <si>
    <t>درجة IR</t>
  </si>
  <si>
    <t>درجة NCR</t>
  </si>
  <si>
    <t>درجة الإغلاق</t>
  </si>
  <si>
    <t>درجة الجدول</t>
  </si>
  <si>
    <t>درجة السلامة</t>
  </si>
  <si>
    <t>درجة العمالة</t>
  </si>
  <si>
    <t>درجة النظافة</t>
  </si>
  <si>
    <t>الدرجة الموزونة</t>
  </si>
  <si>
    <t>الاتجاه</t>
  </si>
  <si>
    <t>المتوسط التراكمي</t>
  </si>
  <si>
    <t>متوسط 3 أشهر</t>
  </si>
  <si>
    <t>عدد الأشهر المقيمة</t>
  </si>
  <si>
    <t>آخر درجة شهرية</t>
  </si>
  <si>
    <t>آخر تقدير</t>
  </si>
  <si>
    <t>متوسط الفترة</t>
  </si>
  <si>
    <t>تقدير الفترة</t>
  </si>
  <si>
    <t>أفضل شهر / أضعف شهر</t>
  </si>
  <si>
    <t>إجمالي الحوادث المسجلة</t>
  </si>
  <si>
    <t>NCR مفتوحة حاليا</t>
  </si>
  <si>
    <t>لوحة متابعة التأهيل والأداء</t>
  </si>
  <si>
    <t>تتحدث تلقائيا من ورقة تقييم التأهيل وورقة تقييم الأداء الشهري.</t>
  </si>
  <si>
    <t>ملخص أداء مقاول الباطن</t>
  </si>
  <si>
    <t>القيمة</t>
  </si>
  <si>
    <t>المقاول</t>
  </si>
  <si>
    <t>درجة النجاح</t>
  </si>
  <si>
    <t>الأشهر المقيمة</t>
  </si>
  <si>
    <t>عدد المؤهلين</t>
  </si>
  <si>
    <t>آخر درجة</t>
  </si>
  <si>
    <t>الأول بين المؤهلين</t>
  </si>
  <si>
    <t>المتقدم</t>
  </si>
  <si>
    <t>ترتيب المؤهلين</t>
  </si>
  <si>
    <t>الاسم</t>
  </si>
  <si>
    <t>النتيجة</t>
  </si>
  <si>
    <t>الترتيب</t>
  </si>
  <si>
    <t>السبب</t>
  </si>
  <si>
    <t>تسمية الرسم</t>
  </si>
  <si>
    <t>NCR مفتوحة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</si>
</sst>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yyyy\-mm"/>
    <numFmt numFmtId="166" formatCode="0.0"/>
  </numFmts>
  <fonts count="12" x14ac:knownFonts="1">
    <font>
      <sz val="11"/>
      <color theme="1"/>
      <name val="Arial"/>
      <family val="2"/>
      <scheme val="minor"/>
    </font>
    <font>
      <b/>
      <sz val="15"/>
      <color rgb="FF052976"/>
      <name val="Almarai"/>
    </font>
    <font>
      <i/>
      <sz val="9"/>
      <color rgb="FF5B6475"/>
      <name val="Almarai"/>
    </font>
    <font>
      <sz val="9"/>
      <color rgb="FF0B1F3A"/>
      <name val="Almarai"/>
    </font>
    <font>
      <b/>
      <sz val="10"/>
      <color rgb="FFFFFFFF"/>
      <name val="Almarai"/>
    </font>
    <font>
      <sz val="10"/>
      <color rgb="FF000000"/>
      <name val="Almarai"/>
    </font>
    <font>
      <b/>
      <sz val="10"/>
      <color rgb="FF052976"/>
      <name val="Almarai"/>
    </font>
    <font>
      <sz val="10"/>
      <color rgb="FF0000FF"/>
      <name val="Almarai"/>
    </font>
    <font>
      <sz val="10"/>
      <color rgb="FF0B1F3A"/>
      <name val="Almarai"/>
    </font>
    <font>
      <b/>
      <sz val="9"/>
      <color rgb="FFC00000"/>
      <name val="Almarai"/>
    </font>
    <font>
      <sz val="10"/>
      <color rgb="FF008000"/>
      <name val="Almarai"/>
    </font>
    <font>
      <b/>
      <sz val="12"/>
      <color rgb="FF052976"/>
      <name val="Almarai"/>
    </font>
  </fonts>
  <fills count="5">
    <fill>
      <patternFill patternType="none"/>
    </fill>
    <fill>
      <patternFill patternType="gray125"/>
    </fill>
    <fill>
      <patternFill patternType="solid">
        <fgColor rgb="FF052976"/>
      </patternFill>
    </fill>
    <fill>
      <patternFill patternType="solid">
        <fgColor rgb="FFFFF9E5"/>
      </patternFill>
    </fill>
    <fill>
      <patternFill patternType="solid">
        <fgColor rgb="FFEEF1FA"/>
      </patternFill>
    </fill>
  </fills>
  <borders count="4">
    <border>
      <left/>
      <right/>
      <top/>
      <bottom/>
      <diagonal/>
    </border>
    <border>
      <left style="thin">
        <color rgb="FFA6A6A6"/>
      </left>
      <right style="thin">
        <color rgb="FFA6A6A6"/>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s>
  <cellStyleXfs count="1">
    <xf numFmtId="0" fontId="0" fillId="0" borderId="0"/>
  </cellStyleXfs>
  <cellXfs count="44">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horizontal="center" vertical="center" wrapText="1" readingOrder="2"/>
    </xf>
    <xf numFmtId="0" fontId="6" fillId="0" borderId="0" xfId="0" applyFont="1"/>
    <xf numFmtId="0" fontId="5" fillId="0" borderId="1" xfId="0" applyFont="1" applyBorder="1" applyAlignment="1">
      <alignment horizontal="center" vertical="center" wrapText="1" readingOrder="2"/>
    </xf>
    <xf numFmtId="0" fontId="5" fillId="0" borderId="1" xfId="0" applyFont="1" applyBorder="1" applyAlignment="1">
      <alignment horizontal="right" vertical="center" wrapText="1" readingOrder="2"/>
    </xf>
    <xf numFmtId="0" fontId="3" fillId="0" borderId="0" xfId="0" applyFont="1" applyAlignment="1">
      <alignment horizontal="right" vertical="center" readingOrder="2"/>
    </xf>
    <xf numFmtId="0" fontId="7" fillId="3" borderId="1" xfId="0" applyFont="1" applyFill="1" applyBorder="1" applyAlignment="1">
      <alignment horizontal="center" vertical="center" wrapText="1" readingOrder="2"/>
    </xf>
    <xf numFmtId="2" fontId="7" fillId="3" borderId="1" xfId="0" applyNumberFormat="1" applyFont="1" applyFill="1" applyBorder="1" applyAlignment="1">
      <alignment horizontal="center" vertical="center" wrapText="1" readingOrder="2"/>
    </xf>
    <xf numFmtId="0" fontId="5" fillId="4" borderId="1" xfId="0" applyFont="1" applyFill="1" applyBorder="1" applyAlignment="1">
      <alignment horizontal="center" vertical="center" wrapText="1" readingOrder="2"/>
    </xf>
    <xf numFmtId="0" fontId="5" fillId="4" borderId="1" xfId="0" applyFont="1" applyFill="1" applyBorder="1" applyAlignment="1">
      <alignment horizontal="right" vertical="center" wrapText="1" readingOrder="2"/>
    </xf>
    <xf numFmtId="0" fontId="6" fillId="0" borderId="1" xfId="0" applyFont="1" applyBorder="1" applyAlignment="1">
      <alignment horizontal="right" vertical="center" wrapText="1" readingOrder="2"/>
    </xf>
    <xf numFmtId="2" fontId="5" fillId="0" borderId="1" xfId="0" applyNumberFormat="1" applyFont="1" applyBorder="1" applyAlignment="1">
      <alignment horizontal="center" vertical="center" wrapText="1" readingOrder="2"/>
    </xf>
    <xf numFmtId="0" fontId="8" fillId="0" borderId="1" xfId="0" applyFont="1" applyBorder="1" applyAlignment="1">
      <alignment horizontal="right" vertical="center" wrapText="1" readingOrder="2"/>
    </xf>
    <xf numFmtId="0" fontId="9" fillId="0" borderId="0" xfId="0" applyFont="1"/>
    <xf numFmtId="0" fontId="10" fillId="0" borderId="1" xfId="0" applyFont="1" applyBorder="1" applyAlignment="1">
      <alignment horizontal="center" vertical="center" wrapText="1" readingOrder="2"/>
    </xf>
    <xf numFmtId="0" fontId="10" fillId="0" borderId="1" xfId="0" applyFont="1" applyBorder="1" applyAlignment="1">
      <alignment horizontal="right" vertical="center" wrapText="1" readingOrder="2"/>
    </xf>
    <xf numFmtId="2" fontId="10" fillId="0" borderId="1" xfId="0" applyNumberFormat="1" applyFont="1" applyBorder="1" applyAlignment="1">
      <alignment horizontal="center" vertical="center" wrapText="1" readingOrder="2"/>
    </xf>
    <xf numFmtId="164" fontId="5" fillId="0" borderId="1" xfId="0" applyNumberFormat="1" applyFont="1" applyBorder="1" applyAlignment="1">
      <alignment horizontal="center" vertical="center" wrapText="1" readingOrder="2"/>
    </xf>
    <xf numFmtId="1" fontId="5" fillId="0" borderId="1" xfId="0" applyNumberFormat="1" applyFont="1" applyBorder="1" applyAlignment="1">
      <alignment horizontal="center" vertical="center" wrapText="1" readingOrder="2"/>
    </xf>
    <xf numFmtId="9" fontId="5" fillId="0" borderId="1" xfId="0" applyNumberFormat="1" applyFont="1" applyBorder="1" applyAlignment="1">
      <alignment horizontal="center" vertical="center" wrapText="1" readingOrder="2"/>
    </xf>
    <xf numFmtId="9" fontId="7" fillId="3" borderId="1" xfId="0" applyNumberFormat="1" applyFont="1" applyFill="1" applyBorder="1" applyAlignment="1">
      <alignment horizontal="center" vertical="center" wrapText="1" readingOrder="2"/>
    </xf>
    <xf numFmtId="1" fontId="7" fillId="3" borderId="1" xfId="0" applyNumberFormat="1" applyFont="1" applyFill="1" applyBorder="1" applyAlignment="1">
      <alignment horizontal="center" vertical="center" wrapText="1" readingOrder="2"/>
    </xf>
    <xf numFmtId="164" fontId="7" fillId="3" borderId="1" xfId="0" applyNumberFormat="1" applyFont="1" applyFill="1" applyBorder="1" applyAlignment="1">
      <alignment horizontal="center" vertical="center" wrapText="1" readingOrder="2"/>
    </xf>
    <xf numFmtId="0" fontId="11" fillId="0" borderId="0" xfId="0" applyFont="1"/>
    <xf numFmtId="165" fontId="5" fillId="0" borderId="1" xfId="0" applyNumberFormat="1" applyFont="1" applyBorder="1" applyAlignment="1">
      <alignment horizontal="center" vertical="center" wrapText="1" readingOrder="2"/>
    </xf>
    <xf numFmtId="166" fontId="5" fillId="0" borderId="1" xfId="0" applyNumberFormat="1" applyFont="1" applyBorder="1" applyAlignment="1">
      <alignment horizontal="center" vertical="center" wrapText="1" readingOrder="2"/>
    </xf>
    <xf numFmtId="9" fontId="10" fillId="0" borderId="1" xfId="0" applyNumberFormat="1" applyFont="1" applyBorder="1" applyAlignment="1">
      <alignment horizontal="right" vertical="center" wrapText="1" readingOrder="2"/>
    </xf>
    <xf numFmtId="1" fontId="10" fillId="0" borderId="1" xfId="0" applyNumberFormat="1" applyFont="1" applyBorder="1" applyAlignment="1">
      <alignment horizontal="center" vertical="center" wrapText="1" readingOrder="2"/>
    </xf>
    <xf numFmtId="1" fontId="10" fillId="0" borderId="1" xfId="0" applyNumberFormat="1" applyFont="1" applyBorder="1" applyAlignment="1">
      <alignment horizontal="right" vertical="center" wrapText="1" readingOrder="2"/>
    </xf>
    <xf numFmtId="166" fontId="10" fillId="0" borderId="1" xfId="0" applyNumberFormat="1" applyFont="1" applyBorder="1" applyAlignment="1">
      <alignment horizontal="center" vertical="center" wrapText="1" readingOrder="2"/>
    </xf>
    <xf numFmtId="164" fontId="10" fillId="0" borderId="1" xfId="0" applyNumberFormat="1" applyFont="1" applyBorder="1" applyAlignment="1">
      <alignment horizontal="center" vertical="center" wrapText="1" readingOrder="2"/>
    </xf>
    <xf numFmtId="9" fontId="10" fillId="0" borderId="1" xfId="0" applyNumberFormat="1" applyFont="1" applyBorder="1" applyAlignment="1">
      <alignment horizontal="center" vertical="center" wrapText="1" readingOrder="2"/>
    </xf>
    <xf numFmtId="0" fontId="5" fillId="0" borderId="1" xfId="0" applyFont="1" applyBorder="1" applyAlignment="1">
      <alignment horizontal="right" vertical="center" wrapText="1" readingOrder="2"/>
    </xf>
    <xf numFmtId="0" fontId="0" fillId="0" borderId="2" xfId="0" applyBorder="1"/>
    <xf numFmtId="0" fontId="0" fillId="0" borderId="3" xfId="0" applyBorder="1"/>
    <xf numFmtId="0" fontId="4" fillId="2" borderId="1" xfId="0" applyFont="1" applyFill="1" applyBorder="1" applyAlignment="1">
      <alignment horizontal="center" vertical="center" wrapText="1" readingOrder="2"/>
    </xf>
    <xf numFmtId="0" fontId="7" fillId="3" borderId="1" xfId="0" applyFont="1" applyFill="1" applyBorder="1" applyAlignment="1">
      <alignment horizontal="right" vertical="center" wrapText="1" readingOrder="2"/>
    </xf>
    <xf numFmtId="0" fontId="6" fillId="0" borderId="1" xfId="0" applyFont="1" applyBorder="1" applyAlignment="1">
      <alignment horizontal="right" vertical="center" wrapText="1" readingOrder="2"/>
    </xf>
    <xf numFmtId="9" fontId="7" fillId="3" borderId="1" xfId="0" applyNumberFormat="1" applyFont="1" applyFill="1" applyBorder="1" applyAlignment="1">
      <alignment horizontal="right" vertical="center" wrapText="1" readingOrder="2"/>
    </xf>
    <xf numFmtId="165" fontId="7" fillId="3" borderId="1" xfId="0" applyNumberFormat="1" applyFont="1" applyFill="1" applyBorder="1" applyAlignment="1">
      <alignment horizontal="right" vertical="center" wrapText="1" readingOrder="2"/>
    </xf>
    <xf numFmtId="0" fontId="10" fillId="0" borderId="1" xfId="0" applyFont="1" applyBorder="1" applyAlignment="1">
      <alignment horizontal="right" vertical="center" wrapText="1" readingOrder="2"/>
    </xf>
  </cellXfs>
  <cellStyles count="1">
    <cellStyle name="Normal" xfId="0" builtinId="0"/>
  </cellStyles>
  <dxfs count="15">
    <dxf>
      <font>
        <b/>
        <color rgb="FF9C0006"/>
      </font>
      <fill>
        <patternFill patternType="solid">
          <fgColor rgb="FFFFC7CE"/>
        </patternFill>
      </fill>
    </dxf>
    <dxf>
      <font>
        <b/>
        <color rgb="FF9C5700"/>
      </font>
      <fill>
        <patternFill patternType="solid">
          <fgColor rgb="FFFFEB9C"/>
        </patternFill>
      </fill>
    </dxf>
    <dxf>
      <font>
        <b/>
        <color rgb="FF006100"/>
      </font>
      <fill>
        <patternFill patternType="solid">
          <fgColor rgb="FFC6EFCE"/>
        </patternFill>
      </fill>
    </dxf>
    <dxf>
      <font>
        <b/>
        <color rgb="FF9C0006"/>
      </font>
      <fill>
        <patternFill patternType="solid">
          <fgColor rgb="FFFFC7CE"/>
        </patternFill>
      </fill>
    </dxf>
    <dxf>
      <font>
        <b/>
        <color rgb="FF9C5700"/>
      </font>
      <fill>
        <patternFill patternType="solid">
          <fgColor rgb="FFFFEB9C"/>
        </patternFill>
      </fill>
    </dxf>
    <dxf>
      <font>
        <b/>
        <color rgb="FF1F4E78"/>
      </font>
      <fill>
        <patternFill patternType="solid">
          <fgColor rgb="FFDDEBF7"/>
        </patternFill>
      </fill>
    </dxf>
    <dxf>
      <font>
        <b/>
        <color rgb="FF006100"/>
      </font>
      <fill>
        <patternFill patternType="solid">
          <fgColor rgb="FFC6EFCE"/>
        </patternFill>
      </fill>
    </dxf>
    <dxf>
      <fill>
        <patternFill patternType="solid">
          <fgColor rgb="FFF8CBAD"/>
        </patternFill>
      </fill>
    </dxf>
    <dxf>
      <fill>
        <patternFill patternType="solid">
          <fgColor rgb="FFF8CBAD"/>
        </patternFill>
      </fill>
    </dxf>
    <dxf>
      <fill>
        <patternFill patternType="solid">
          <fgColor rgb="FFFFC7CE"/>
        </patternFill>
      </fill>
    </dxf>
    <dxf>
      <font>
        <b/>
        <color rgb="FF9C0006"/>
      </font>
      <fill>
        <patternFill patternType="solid">
          <fgColor rgb="FFFFC7CE"/>
        </patternFill>
      </fill>
    </dxf>
    <dxf>
      <font>
        <b/>
        <color rgb="FF9C5700"/>
      </font>
      <fill>
        <patternFill patternType="solid">
          <fgColor rgb="FFFFEB9C"/>
        </patternFill>
      </fill>
    </dxf>
    <dxf>
      <font>
        <b/>
        <color rgb="FF006100"/>
      </font>
      <fill>
        <patternFill patternType="solid">
          <fgColor rgb="FFC6EFCE"/>
        </patternFill>
      </fill>
    </dxf>
    <dxf>
      <font>
        <color rgb="FFA6A6A6"/>
      </font>
      <fill>
        <patternFill patternType="solid">
          <fgColor rgb="FFE6E6E6"/>
        </patternFill>
      </fill>
    </dxf>
    <dxf>
      <fill>
        <patternFill patternType="solid">
          <fgColor rgb="FFF8CBAD"/>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ar-SA"/>
              <a:t>اتجاه الأداء الشهري لمقاول الباطن</a:t>
            </a:r>
          </a:p>
        </c:rich>
      </c:tx>
      <c:overlay val="1"/>
    </c:title>
    <c:autoTitleDeleted val="0"/>
    <c:plotArea>
      <c:layout/>
      <c:lineChart>
        <c:grouping val="standard"/>
        <c:varyColors val="1"/>
        <c:ser>
          <c:idx val="0"/>
          <c:order val="0"/>
          <c:tx>
            <c:strRef>
              <c:f>Performance_Evaluation!$Y$20</c:f>
              <c:strCache>
                <c:ptCount val="1"/>
                <c:pt idx="0">
                  <c:v>الدرجة الموزونة</c:v>
                </c:pt>
              </c:strCache>
            </c:strRef>
          </c:tx>
          <c:spPr>
            <a:ln>
              <a:solidFill>
                <a:srgbClr val="052976"/>
              </a:solidFill>
              <a:prstDash val="solid"/>
            </a:ln>
          </c:spPr>
          <c:marker>
            <c:symbol val="circle"/>
            <c:size val="5"/>
            <c:spPr>
              <a:ln>
                <a:prstDash val="solid"/>
              </a:ln>
            </c:spPr>
          </c:marker>
          <c:cat>
            <c:numRef>
              <c:f>[0]!PerfMonth</c:f>
              <c:numCache>
                <c:formatCode>yyyy\-mm</c:formatCode>
                <c:ptCount val="1"/>
                <c:pt idx="0">
                  <c:v>46296</c:v>
                </c:pt>
              </c:numCache>
            </c:numRef>
          </c:cat>
          <c:val>
            <c:numRef>
              <c:f>[0]!PerfScore</c:f>
              <c:numCache>
                <c:formatCode>0.0</c:formatCode>
                <c:ptCount val="1"/>
                <c:pt idx="0">
                  <c:v>0</c:v>
                </c:pt>
              </c:numCache>
            </c:numRef>
          </c:val>
          <c:smooth val="0"/>
          <c:extLst>
            <c:ext xmlns:c16="http://schemas.microsoft.com/office/drawing/2014/chart" uri="{C3380CC4-5D6E-409C-BE32-E72D297353CC}">
              <c16:uniqueId val="{00000000-D3D9-476B-B6F7-E9DF90D18567}"/>
            </c:ext>
          </c:extLst>
        </c:ser>
        <c:ser>
          <c:idx val="1"/>
          <c:order val="1"/>
          <c:tx>
            <c:strRef>
              <c:f>Performance_Evaluation!$AB$20</c:f>
              <c:strCache>
                <c:ptCount val="1"/>
                <c:pt idx="0">
                  <c:v>المتوسط التراكمي</c:v>
                </c:pt>
              </c:strCache>
            </c:strRef>
          </c:tx>
          <c:spPr>
            <a:ln>
              <a:solidFill>
                <a:srgbClr val="5B6475"/>
              </a:solidFill>
              <a:prstDash val="dash"/>
            </a:ln>
          </c:spPr>
          <c:marker>
            <c:symbol val="none"/>
          </c:marker>
          <c:cat>
            <c:numRef>
              <c:f>[0]!PerfMonth</c:f>
              <c:numCache>
                <c:formatCode>yyyy\-mm</c:formatCode>
                <c:ptCount val="1"/>
                <c:pt idx="0">
                  <c:v>46296</c:v>
                </c:pt>
              </c:numCache>
            </c:numRef>
          </c:cat>
          <c:val>
            <c:numRef>
              <c:f>[0]!PerfCum</c:f>
              <c:numCache>
                <c:formatCode>0.0</c:formatCode>
                <c:ptCount val="1"/>
                <c:pt idx="0">
                  <c:v>0</c:v>
                </c:pt>
              </c:numCache>
            </c:numRef>
          </c:val>
          <c:smooth val="0"/>
          <c:extLst>
            <c:ext xmlns:c16="http://schemas.microsoft.com/office/drawing/2014/chart" uri="{C3380CC4-5D6E-409C-BE32-E72D297353CC}">
              <c16:uniqueId val="{00000001-D3D9-476B-B6F7-E9DF90D18567}"/>
            </c:ext>
          </c:extLst>
        </c:ser>
        <c:ser>
          <c:idx val="2"/>
          <c:order val="2"/>
          <c:tx>
            <c:strRef>
              <c:f>Performance_Evaluation!$AC$20</c:f>
              <c:strCache>
                <c:ptCount val="1"/>
                <c:pt idx="0">
                  <c:v>متوسط 3 أشهر</c:v>
                </c:pt>
              </c:strCache>
            </c:strRef>
          </c:tx>
          <c:spPr>
            <a:ln>
              <a:solidFill>
                <a:srgbClr val="2633FF"/>
              </a:solidFill>
              <a:prstDash val="solid"/>
            </a:ln>
          </c:spPr>
          <c:marker>
            <c:symbol val="none"/>
          </c:marker>
          <c:cat>
            <c:numRef>
              <c:f>[0]!PerfMonth</c:f>
              <c:numCache>
                <c:formatCode>yyyy\-mm</c:formatCode>
                <c:ptCount val="1"/>
                <c:pt idx="0">
                  <c:v>46296</c:v>
                </c:pt>
              </c:numCache>
            </c:numRef>
          </c:cat>
          <c:val>
            <c:numRef>
              <c:f>[0]!PerfRoll</c:f>
              <c:numCache>
                <c:formatCode>0.0</c:formatCode>
                <c:ptCount val="1"/>
                <c:pt idx="0">
                  <c:v>0</c:v>
                </c:pt>
              </c:numCache>
            </c:numRef>
          </c:val>
          <c:smooth val="0"/>
          <c:extLst>
            <c:ext xmlns:c16="http://schemas.microsoft.com/office/drawing/2014/chart" uri="{C3380CC4-5D6E-409C-BE32-E72D297353CC}">
              <c16:uniqueId val="{00000002-D3D9-476B-B6F7-E9DF90D18567}"/>
            </c:ext>
          </c:extLst>
        </c:ser>
        <c:dLbls>
          <c:showLegendKey val="0"/>
          <c:showVal val="0"/>
          <c:showCatName val="0"/>
          <c:showSerName val="0"/>
          <c:showPercent val="0"/>
          <c:showBubbleSize val="0"/>
        </c:dLbls>
        <c:marker val="1"/>
        <c:smooth val="0"/>
        <c:axId val="10"/>
        <c:axId val="100"/>
      </c:lineChart>
      <c:dateAx>
        <c:axId val="10"/>
        <c:scaling>
          <c:orientation val="minMax"/>
        </c:scaling>
        <c:delete val="0"/>
        <c:axPos val="b"/>
        <c:numFmt formatCode="yyyy\-mm" sourceLinked="0"/>
        <c:majorTickMark val="none"/>
        <c:minorTickMark val="none"/>
        <c:tickLblPos val="nextTo"/>
        <c:crossAx val="100"/>
        <c:crosses val="autoZero"/>
        <c:auto val="1"/>
        <c:lblOffset val="100"/>
        <c:baseTimeUnit val="days"/>
      </c:dateAx>
      <c:valAx>
        <c:axId val="100"/>
        <c:scaling>
          <c:orientation val="minMax"/>
          <c:max val="100"/>
          <c:min val="0"/>
        </c:scaling>
        <c:delete val="0"/>
        <c:axPos val="l"/>
        <c:majorGridlines/>
        <c:title>
          <c:tx>
            <c:rich>
              <a:bodyPr/>
              <a:lstStyle/>
              <a:p>
                <a:pPr>
                  <a:defRPr/>
                </a:pPr>
                <a:r>
                  <a:rPr lang="ar-SA"/>
                  <a:t>الدرجة</a:t>
                </a:r>
              </a:p>
            </c:rich>
          </c:tx>
          <c:overlay val="1"/>
        </c:title>
        <c:numFmt formatCode="0.0" sourceLinked="1"/>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ar-SA"/>
              <a:t>النتيجة الموزونة للمتقدمين مقابل درجة النجاح</a:t>
            </a:r>
          </a:p>
        </c:rich>
      </c:tx>
      <c:overlay val="1"/>
    </c:title>
    <c:autoTitleDeleted val="0"/>
    <c:plotArea>
      <c:layout/>
      <c:barChart>
        <c:barDir val="col"/>
        <c:grouping val="clustered"/>
        <c:varyColors val="1"/>
        <c:ser>
          <c:idx val="0"/>
          <c:order val="0"/>
          <c:tx>
            <c:strRef>
              <c:f>Dashboard!$E$11</c:f>
              <c:strCache>
                <c:ptCount val="1"/>
                <c:pt idx="0">
                  <c:v>النتيجة</c:v>
                </c:pt>
              </c:strCache>
            </c:strRef>
          </c:tx>
          <c:spPr>
            <a:solidFill>
              <a:srgbClr val="052976"/>
            </a:solidFill>
            <a:ln>
              <a:prstDash val="solid"/>
            </a:ln>
          </c:spPr>
          <c:invertIfNegative val="1"/>
          <c:dLbls>
            <c:spPr>
              <a:noFill/>
              <a:ln>
                <a:noFill/>
              </a:ln>
              <a:effectLst/>
            </c:spPr>
            <c:showLegendKey val="0"/>
            <c:showVal val="1"/>
            <c:showCatName val="0"/>
            <c:showSerName val="0"/>
            <c:showPercent val="1"/>
            <c:showBubbleSize val="1"/>
            <c:showLeaderLines val="0"/>
            <c:extLst>
              <c:ext xmlns:c15="http://schemas.microsoft.com/office/drawing/2012/chart" uri="{CE6537A1-D6FC-4f65-9D91-7224C49458BB}">
                <c15:showLeaderLines val="0"/>
              </c:ext>
            </c:extLst>
          </c:dLbls>
          <c:cat>
            <c:strRef>
              <c:f>Dashboard!$J$12:$J$16</c:f>
              <c:strCache>
                <c:ptCount val="5"/>
                <c:pt idx="0">
                  <c:v>المتقدم 1</c:v>
                </c:pt>
                <c:pt idx="1">
                  <c:v>المتقدم 2</c:v>
                </c:pt>
                <c:pt idx="2">
                  <c:v>المتقدم 3</c:v>
                </c:pt>
                <c:pt idx="3">
                  <c:v>المتقدم 4</c:v>
                </c:pt>
                <c:pt idx="4">
                  <c:v>المتقدم 5</c:v>
                </c:pt>
              </c:strCache>
            </c:strRef>
          </c:cat>
          <c:val>
            <c:numRef>
              <c:f>Dashboard!$E$12:$E$16</c:f>
              <c:numCache>
                <c:formatCode>0.0%</c:formatCode>
                <c:ptCount val="5"/>
                <c:pt idx="0">
                  <c:v>0</c:v>
                </c:pt>
                <c:pt idx="1">
                  <c:v>0</c:v>
                </c:pt>
                <c:pt idx="2">
                  <c:v>0</c:v>
                </c:pt>
                <c:pt idx="3">
                  <c:v>0</c:v>
                </c:pt>
                <c:pt idx="4">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6E3D-4600-BDA7-A1560C7B2C9A}"/>
            </c:ext>
          </c:extLst>
        </c:ser>
        <c:dLbls>
          <c:showLegendKey val="0"/>
          <c:showVal val="0"/>
          <c:showCatName val="0"/>
          <c:showSerName val="0"/>
          <c:showPercent val="0"/>
          <c:showBubbleSize val="0"/>
        </c:dLbls>
        <c:gapWidth val="150"/>
        <c:axId val="10"/>
        <c:axId val="100"/>
      </c:barChart>
      <c:lineChart>
        <c:grouping val="standard"/>
        <c:varyColors val="1"/>
        <c:ser>
          <c:idx val="1"/>
          <c:order val="1"/>
          <c:tx>
            <c:strRef>
              <c:f>Dashboard!$F$11</c:f>
              <c:strCache>
                <c:ptCount val="1"/>
                <c:pt idx="0">
                  <c:v>درجة النجاح</c:v>
                </c:pt>
              </c:strCache>
            </c:strRef>
          </c:tx>
          <c:spPr>
            <a:ln>
              <a:solidFill>
                <a:srgbClr val="C00000"/>
              </a:solidFill>
              <a:prstDash val="dash"/>
            </a:ln>
          </c:spPr>
          <c:marker>
            <c:symbol val="none"/>
          </c:marker>
          <c:val>
            <c:numRef>
              <c:f>Dashboard!$F$12:$F$16</c:f>
              <c:numCache>
                <c:formatCode>0%</c:formatCode>
                <c:ptCount val="5"/>
                <c:pt idx="0">
                  <c:v>0.7</c:v>
                </c:pt>
                <c:pt idx="1">
                  <c:v>0.7</c:v>
                </c:pt>
                <c:pt idx="2">
                  <c:v>0.7</c:v>
                </c:pt>
                <c:pt idx="3">
                  <c:v>0.7</c:v>
                </c:pt>
                <c:pt idx="4">
                  <c:v>0.7</c:v>
                </c:pt>
              </c:numCache>
            </c:numRef>
          </c:val>
          <c:smooth val="1"/>
          <c:extLst>
            <c:ext xmlns:c16="http://schemas.microsoft.com/office/drawing/2014/chart" uri="{C3380CC4-5D6E-409C-BE32-E72D297353CC}">
              <c16:uniqueId val="{00000001-6E3D-4600-BDA7-A1560C7B2C9A}"/>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max val="1"/>
          <c:min val="0"/>
        </c:scaling>
        <c:delete val="0"/>
        <c:axPos val="l"/>
        <c:numFmt formatCode="0%" sourceLinked="0"/>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ar-SA"/>
              <a:t>النتيجة حسب الفئة لكل متقدم</a:t>
            </a:r>
          </a:p>
        </c:rich>
      </c:tx>
      <c:overlay val="1"/>
    </c:title>
    <c:autoTitleDeleted val="0"/>
    <c:plotArea>
      <c:layout/>
      <c:barChart>
        <c:barDir val="bar"/>
        <c:grouping val="clustered"/>
        <c:varyColors val="1"/>
        <c:ser>
          <c:idx val="0"/>
          <c:order val="0"/>
          <c:tx>
            <c:strRef>
              <c:f>Dashboard!$E$40</c:f>
              <c:strCache>
                <c:ptCount val="1"/>
                <c:pt idx="0">
                  <c:v>المتقدم 1</c:v>
                </c:pt>
              </c:strCache>
            </c:strRef>
          </c:tx>
          <c:spPr>
            <a:solidFill>
              <a:srgbClr val="052976"/>
            </a:solidFill>
            <a:ln>
              <a:prstDash val="solid"/>
            </a:ln>
          </c:spPr>
          <c:invertIfNegative val="1"/>
          <c:cat>
            <c:strRef>
              <c:f>Dashboard!$B$41:$B$48</c:f>
              <c:strCache>
                <c:ptCount val="8"/>
                <c:pt idx="0">
                  <c:v>الوثائق النظامية</c:v>
                </c:pt>
                <c:pt idx="1">
                  <c:v>الملاءة المالية</c:v>
                </c:pt>
                <c:pt idx="2">
                  <c:v>الخبرة السابقة</c:v>
                </c:pt>
                <c:pt idx="3">
                  <c:v>الجهاز الفني</c:v>
                </c:pt>
                <c:pt idx="4">
                  <c:v>المعدات وأدوات القياس</c:v>
                </c:pt>
                <c:pt idx="5">
                  <c:v>نظام الجودة QA/QC</c:v>
                </c:pt>
                <c:pt idx="6">
                  <c:v>السلامة والصحة المهنية HSE</c:v>
                </c:pt>
                <c:pt idx="7">
                  <c:v>القدرة الفنية للتخصص</c:v>
                </c:pt>
              </c:strCache>
            </c:strRef>
          </c:cat>
          <c:val>
            <c:numRef>
              <c:f>Dashboard!$E$41:$E$48</c:f>
              <c:numCache>
                <c:formatCode>0%</c:formatCode>
                <c:ptCount val="8"/>
                <c:pt idx="0">
                  <c:v>0</c:v>
                </c:pt>
                <c:pt idx="1">
                  <c:v>0</c:v>
                </c:pt>
                <c:pt idx="2">
                  <c:v>0</c:v>
                </c:pt>
                <c:pt idx="3">
                  <c:v>0</c:v>
                </c:pt>
                <c:pt idx="4">
                  <c:v>0</c:v>
                </c:pt>
                <c:pt idx="5">
                  <c:v>0</c:v>
                </c:pt>
                <c:pt idx="6">
                  <c:v>0</c:v>
                </c:pt>
                <c:pt idx="7">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8C1A-404A-BF77-51F3435C13D7}"/>
            </c:ext>
          </c:extLst>
        </c:ser>
        <c:ser>
          <c:idx val="1"/>
          <c:order val="1"/>
          <c:tx>
            <c:strRef>
              <c:f>Dashboard!$F$40</c:f>
              <c:strCache>
                <c:ptCount val="1"/>
                <c:pt idx="0">
                  <c:v>المتقدم 2</c:v>
                </c:pt>
              </c:strCache>
            </c:strRef>
          </c:tx>
          <c:spPr>
            <a:solidFill>
              <a:srgbClr val="2633FF"/>
            </a:solidFill>
            <a:ln>
              <a:prstDash val="solid"/>
            </a:ln>
          </c:spPr>
          <c:invertIfNegative val="1"/>
          <c:cat>
            <c:strRef>
              <c:f>Dashboard!$B$41:$B$48</c:f>
              <c:strCache>
                <c:ptCount val="8"/>
                <c:pt idx="0">
                  <c:v>الوثائق النظامية</c:v>
                </c:pt>
                <c:pt idx="1">
                  <c:v>الملاءة المالية</c:v>
                </c:pt>
                <c:pt idx="2">
                  <c:v>الخبرة السابقة</c:v>
                </c:pt>
                <c:pt idx="3">
                  <c:v>الجهاز الفني</c:v>
                </c:pt>
                <c:pt idx="4">
                  <c:v>المعدات وأدوات القياس</c:v>
                </c:pt>
                <c:pt idx="5">
                  <c:v>نظام الجودة QA/QC</c:v>
                </c:pt>
                <c:pt idx="6">
                  <c:v>السلامة والصحة المهنية HSE</c:v>
                </c:pt>
                <c:pt idx="7">
                  <c:v>القدرة الفنية للتخصص</c:v>
                </c:pt>
              </c:strCache>
            </c:strRef>
          </c:cat>
          <c:val>
            <c:numRef>
              <c:f>Dashboard!$F$41:$F$48</c:f>
              <c:numCache>
                <c:formatCode>0%</c:formatCode>
                <c:ptCount val="8"/>
                <c:pt idx="0">
                  <c:v>0</c:v>
                </c:pt>
                <c:pt idx="1">
                  <c:v>0</c:v>
                </c:pt>
                <c:pt idx="2">
                  <c:v>0</c:v>
                </c:pt>
                <c:pt idx="3">
                  <c:v>0</c:v>
                </c:pt>
                <c:pt idx="4">
                  <c:v>0</c:v>
                </c:pt>
                <c:pt idx="5">
                  <c:v>0</c:v>
                </c:pt>
                <c:pt idx="6">
                  <c:v>0</c:v>
                </c:pt>
                <c:pt idx="7">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8C1A-404A-BF77-51F3435C13D7}"/>
            </c:ext>
          </c:extLst>
        </c:ser>
        <c:ser>
          <c:idx val="2"/>
          <c:order val="2"/>
          <c:tx>
            <c:strRef>
              <c:f>Dashboard!$G$40</c:f>
              <c:strCache>
                <c:ptCount val="1"/>
                <c:pt idx="0">
                  <c:v>المتقدم 3</c:v>
                </c:pt>
              </c:strCache>
            </c:strRef>
          </c:tx>
          <c:spPr>
            <a:solidFill>
              <a:srgbClr val="5B6475"/>
            </a:solidFill>
            <a:ln>
              <a:prstDash val="solid"/>
            </a:ln>
          </c:spPr>
          <c:invertIfNegative val="1"/>
          <c:cat>
            <c:strRef>
              <c:f>Dashboard!$B$41:$B$48</c:f>
              <c:strCache>
                <c:ptCount val="8"/>
                <c:pt idx="0">
                  <c:v>الوثائق النظامية</c:v>
                </c:pt>
                <c:pt idx="1">
                  <c:v>الملاءة المالية</c:v>
                </c:pt>
                <c:pt idx="2">
                  <c:v>الخبرة السابقة</c:v>
                </c:pt>
                <c:pt idx="3">
                  <c:v>الجهاز الفني</c:v>
                </c:pt>
                <c:pt idx="4">
                  <c:v>المعدات وأدوات القياس</c:v>
                </c:pt>
                <c:pt idx="5">
                  <c:v>نظام الجودة QA/QC</c:v>
                </c:pt>
                <c:pt idx="6">
                  <c:v>السلامة والصحة المهنية HSE</c:v>
                </c:pt>
                <c:pt idx="7">
                  <c:v>القدرة الفنية للتخصص</c:v>
                </c:pt>
              </c:strCache>
            </c:strRef>
          </c:cat>
          <c:val>
            <c:numRef>
              <c:f>Dashboard!$G$41:$G$48</c:f>
              <c:numCache>
                <c:formatCode>0%</c:formatCode>
                <c:ptCount val="8"/>
                <c:pt idx="0">
                  <c:v>0</c:v>
                </c:pt>
                <c:pt idx="1">
                  <c:v>0</c:v>
                </c:pt>
                <c:pt idx="2">
                  <c:v>0</c:v>
                </c:pt>
                <c:pt idx="3">
                  <c:v>0</c:v>
                </c:pt>
                <c:pt idx="4">
                  <c:v>0</c:v>
                </c:pt>
                <c:pt idx="5">
                  <c:v>0</c:v>
                </c:pt>
                <c:pt idx="6">
                  <c:v>0</c:v>
                </c:pt>
                <c:pt idx="7">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8C1A-404A-BF77-51F3435C13D7}"/>
            </c:ext>
          </c:extLst>
        </c:ser>
        <c:ser>
          <c:idx val="3"/>
          <c:order val="3"/>
          <c:tx>
            <c:strRef>
              <c:f>Dashboard!$H$40</c:f>
              <c:strCache>
                <c:ptCount val="1"/>
                <c:pt idx="0">
                  <c:v>المتقدم 4</c:v>
                </c:pt>
              </c:strCache>
            </c:strRef>
          </c:tx>
          <c:spPr>
            <a:solidFill>
              <a:srgbClr val="8FA8DC"/>
            </a:solidFill>
            <a:ln>
              <a:prstDash val="solid"/>
            </a:ln>
          </c:spPr>
          <c:invertIfNegative val="1"/>
          <c:cat>
            <c:strRef>
              <c:f>Dashboard!$B$41:$B$48</c:f>
              <c:strCache>
                <c:ptCount val="8"/>
                <c:pt idx="0">
                  <c:v>الوثائق النظامية</c:v>
                </c:pt>
                <c:pt idx="1">
                  <c:v>الملاءة المالية</c:v>
                </c:pt>
                <c:pt idx="2">
                  <c:v>الخبرة السابقة</c:v>
                </c:pt>
                <c:pt idx="3">
                  <c:v>الجهاز الفني</c:v>
                </c:pt>
                <c:pt idx="4">
                  <c:v>المعدات وأدوات القياس</c:v>
                </c:pt>
                <c:pt idx="5">
                  <c:v>نظام الجودة QA/QC</c:v>
                </c:pt>
                <c:pt idx="6">
                  <c:v>السلامة والصحة المهنية HSE</c:v>
                </c:pt>
                <c:pt idx="7">
                  <c:v>القدرة الفنية للتخصص</c:v>
                </c:pt>
              </c:strCache>
            </c:strRef>
          </c:cat>
          <c:val>
            <c:numRef>
              <c:f>Dashboard!$H$41:$H$48</c:f>
              <c:numCache>
                <c:formatCode>0%</c:formatCode>
                <c:ptCount val="8"/>
                <c:pt idx="0">
                  <c:v>0</c:v>
                </c:pt>
                <c:pt idx="1">
                  <c:v>0</c:v>
                </c:pt>
                <c:pt idx="2">
                  <c:v>0</c:v>
                </c:pt>
                <c:pt idx="3">
                  <c:v>0</c:v>
                </c:pt>
                <c:pt idx="4">
                  <c:v>0</c:v>
                </c:pt>
                <c:pt idx="5">
                  <c:v>0</c:v>
                </c:pt>
                <c:pt idx="6">
                  <c:v>0</c:v>
                </c:pt>
                <c:pt idx="7">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3-8C1A-404A-BF77-51F3435C13D7}"/>
            </c:ext>
          </c:extLst>
        </c:ser>
        <c:ser>
          <c:idx val="4"/>
          <c:order val="4"/>
          <c:tx>
            <c:strRef>
              <c:f>Dashboard!$I$40</c:f>
              <c:strCache>
                <c:ptCount val="1"/>
                <c:pt idx="0">
                  <c:v>المتقدم 5</c:v>
                </c:pt>
              </c:strCache>
            </c:strRef>
          </c:tx>
          <c:spPr>
            <a:solidFill>
              <a:srgbClr val="0B1F3A"/>
            </a:solidFill>
            <a:ln>
              <a:prstDash val="solid"/>
            </a:ln>
          </c:spPr>
          <c:invertIfNegative val="1"/>
          <c:cat>
            <c:strRef>
              <c:f>Dashboard!$B$41:$B$48</c:f>
              <c:strCache>
                <c:ptCount val="8"/>
                <c:pt idx="0">
                  <c:v>الوثائق النظامية</c:v>
                </c:pt>
                <c:pt idx="1">
                  <c:v>الملاءة المالية</c:v>
                </c:pt>
                <c:pt idx="2">
                  <c:v>الخبرة السابقة</c:v>
                </c:pt>
                <c:pt idx="3">
                  <c:v>الجهاز الفني</c:v>
                </c:pt>
                <c:pt idx="4">
                  <c:v>المعدات وأدوات القياس</c:v>
                </c:pt>
                <c:pt idx="5">
                  <c:v>نظام الجودة QA/QC</c:v>
                </c:pt>
                <c:pt idx="6">
                  <c:v>السلامة والصحة المهنية HSE</c:v>
                </c:pt>
                <c:pt idx="7">
                  <c:v>القدرة الفنية للتخصص</c:v>
                </c:pt>
              </c:strCache>
            </c:strRef>
          </c:cat>
          <c:val>
            <c:numRef>
              <c:f>Dashboard!$I$41:$I$48</c:f>
              <c:numCache>
                <c:formatCode>0%</c:formatCode>
                <c:ptCount val="8"/>
                <c:pt idx="0">
                  <c:v>0</c:v>
                </c:pt>
                <c:pt idx="1">
                  <c:v>0</c:v>
                </c:pt>
                <c:pt idx="2">
                  <c:v>0</c:v>
                </c:pt>
                <c:pt idx="3">
                  <c:v>0</c:v>
                </c:pt>
                <c:pt idx="4">
                  <c:v>0</c:v>
                </c:pt>
                <c:pt idx="5">
                  <c:v>0</c:v>
                </c:pt>
                <c:pt idx="6">
                  <c:v>0</c:v>
                </c:pt>
                <c:pt idx="7">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4-8C1A-404A-BF77-51F3435C13D7}"/>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max val="1"/>
          <c:min val="0"/>
        </c:scaling>
        <c:delete val="0"/>
        <c:axPos val="b"/>
        <c:majorGridlines/>
        <c:numFmt formatCode="0%" sourceLinked="0"/>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oneCellAnchor>
    <xdr:from>
      <xdr:col>11</xdr:col>
      <xdr:colOff>0</xdr:colOff>
      <xdr:row>0</xdr:row>
      <xdr:rowOff>0</xdr:rowOff>
    </xdr:from>
    <xdr:ext cx="2000250" cy="762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33</xdr:row>
      <xdr:rowOff>0</xdr:rowOff>
    </xdr:from>
    <xdr:ext cx="8640000" cy="342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18</xdr:row>
      <xdr:rowOff>0</xdr:rowOff>
    </xdr:from>
    <xdr:ext cx="7920000" cy="324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xdr:col>
      <xdr:colOff>0</xdr:colOff>
      <xdr:row>50</xdr:row>
      <xdr:rowOff>0</xdr:rowOff>
    </xdr:from>
    <xdr:ext cx="7920000" cy="396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52976"/>
    <pageSetUpPr fitToPage="1"/>
  </sheetPr>
  <dimension ref="A1:N86"/>
  <sheetViews>
    <sheetView rightToLeft="1" tabSelected="1" zoomScale="85" workbookViewId="0">
      <pane xSplit="5" ySplit="11" topLeftCell="F12" activePane="bottomRight" state="frozen"/>
      <selection pane="topRight"/>
      <selection pane="bottomLeft"/>
      <selection pane="bottomRight"/>
    </sheetView>
  </sheetViews>
  <sheetFormatPr defaultRowHeight="13.8" x14ac:dyDescent="0.25"/>
  <cols>
    <col min="1" max="1" width="5" customWidth="1"/>
    <col min="2" max="2" width="9" customWidth="1"/>
    <col min="3" max="3" width="18" customWidth="1"/>
    <col min="4" max="4" width="14" customWidth="1"/>
    <col min="5" max="5" width="58" customWidth="1"/>
    <col min="6" max="6" width="40" customWidth="1"/>
    <col min="7" max="7" width="10" customWidth="1"/>
    <col min="8" max="8" width="8" customWidth="1"/>
    <col min="9" max="9" width="16" customWidth="1"/>
    <col min="10" max="14" width="13" customWidth="1"/>
  </cols>
  <sheetData>
    <row r="1" spans="1:14" ht="30" customHeight="1" x14ac:dyDescent="0.75">
      <c r="A1" s="1" t="s">
        <v>0</v>
      </c>
    </row>
    <row r="2" spans="1:14" ht="30" customHeight="1" x14ac:dyDescent="0.5">
      <c r="A2" s="2" t="s">
        <v>1</v>
      </c>
    </row>
    <row r="3" spans="1:14" ht="16.8" x14ac:dyDescent="0.5">
      <c r="A3" s="3" t="s">
        <v>2</v>
      </c>
    </row>
    <row r="4" spans="1:14" ht="18" x14ac:dyDescent="0.55000000000000004">
      <c r="B4" s="4" t="s">
        <v>3</v>
      </c>
      <c r="C4" s="38" t="s">
        <v>4</v>
      </c>
      <c r="D4" s="36"/>
      <c r="E4" s="37"/>
      <c r="G4" s="5" t="s">
        <v>5</v>
      </c>
    </row>
    <row r="5" spans="1:14" ht="18" x14ac:dyDescent="0.25">
      <c r="B5" s="6">
        <v>0</v>
      </c>
      <c r="C5" s="35" t="s">
        <v>6</v>
      </c>
      <c r="D5" s="36"/>
      <c r="E5" s="37"/>
      <c r="G5" s="8" t="s">
        <v>7</v>
      </c>
    </row>
    <row r="6" spans="1:14" ht="18" x14ac:dyDescent="0.25">
      <c r="B6" s="6">
        <v>1</v>
      </c>
      <c r="C6" s="35" t="s">
        <v>8</v>
      </c>
      <c r="D6" s="36"/>
      <c r="E6" s="37"/>
      <c r="G6" s="8" t="s">
        <v>9</v>
      </c>
    </row>
    <row r="7" spans="1:14" ht="18" x14ac:dyDescent="0.25">
      <c r="B7" s="6">
        <v>2</v>
      </c>
      <c r="C7" s="35" t="s">
        <v>10</v>
      </c>
      <c r="D7" s="36"/>
      <c r="E7" s="37"/>
      <c r="G7" s="8" t="s">
        <v>11</v>
      </c>
    </row>
    <row r="8" spans="1:14" ht="18" x14ac:dyDescent="0.25">
      <c r="B8" s="6">
        <v>3</v>
      </c>
      <c r="C8" s="35" t="s">
        <v>12</v>
      </c>
      <c r="D8" s="36"/>
      <c r="E8" s="37"/>
      <c r="G8" s="8" t="s">
        <v>13</v>
      </c>
    </row>
    <row r="9" spans="1:14" ht="18" x14ac:dyDescent="0.25">
      <c r="B9" s="6">
        <v>4</v>
      </c>
      <c r="C9" s="35" t="s">
        <v>14</v>
      </c>
      <c r="D9" s="36"/>
      <c r="E9" s="37"/>
      <c r="G9" s="8" t="s">
        <v>15</v>
      </c>
    </row>
    <row r="10" spans="1:14" ht="18" x14ac:dyDescent="0.25">
      <c r="B10" s="6">
        <v>5</v>
      </c>
      <c r="C10" s="35" t="s">
        <v>16</v>
      </c>
      <c r="D10" s="36"/>
      <c r="E10" s="37"/>
    </row>
    <row r="11" spans="1:14" ht="34.049999999999997" customHeight="1" x14ac:dyDescent="0.25">
      <c r="A11" s="4" t="s">
        <v>17</v>
      </c>
      <c r="B11" s="4" t="s">
        <v>18</v>
      </c>
      <c r="C11" s="4" t="s">
        <v>19</v>
      </c>
      <c r="D11" s="4" t="s">
        <v>20</v>
      </c>
      <c r="E11" s="4" t="s">
        <v>21</v>
      </c>
      <c r="F11" s="4" t="s">
        <v>22</v>
      </c>
      <c r="G11" s="4" t="s">
        <v>23</v>
      </c>
      <c r="H11" s="4" t="s">
        <v>24</v>
      </c>
      <c r="I11" s="4" t="s">
        <v>25</v>
      </c>
      <c r="J11" s="4" t="s">
        <v>26</v>
      </c>
      <c r="K11" s="4" t="s">
        <v>27</v>
      </c>
      <c r="L11" s="4" t="s">
        <v>28</v>
      </c>
      <c r="M11" s="4" t="s">
        <v>29</v>
      </c>
      <c r="N11" s="4" t="s">
        <v>30</v>
      </c>
    </row>
    <row r="12" spans="1:14" ht="31.95" customHeight="1" x14ac:dyDescent="0.25">
      <c r="A12" s="6">
        <v>1</v>
      </c>
      <c r="B12" s="6" t="s">
        <v>31</v>
      </c>
      <c r="C12" s="7" t="s">
        <v>32</v>
      </c>
      <c r="D12" s="7" t="s">
        <v>33</v>
      </c>
      <c r="E12" s="7" t="s">
        <v>34</v>
      </c>
      <c r="F12" s="7" t="s">
        <v>35</v>
      </c>
      <c r="G12" s="9" t="s">
        <v>36</v>
      </c>
      <c r="H12" s="9" t="s">
        <v>37</v>
      </c>
      <c r="I12" s="7"/>
      <c r="J12" s="10">
        <v>1</v>
      </c>
      <c r="K12" s="10">
        <v>1</v>
      </c>
      <c r="L12" s="10">
        <v>1</v>
      </c>
      <c r="M12" s="10">
        <v>1</v>
      </c>
      <c r="N12" s="10">
        <v>1</v>
      </c>
    </row>
    <row r="13" spans="1:14" ht="31.95" customHeight="1" x14ac:dyDescent="0.25">
      <c r="A13" s="11">
        <v>2</v>
      </c>
      <c r="B13" s="11" t="s">
        <v>38</v>
      </c>
      <c r="C13" s="12" t="s">
        <v>32</v>
      </c>
      <c r="D13" s="12" t="s">
        <v>33</v>
      </c>
      <c r="E13" s="12" t="s">
        <v>39</v>
      </c>
      <c r="F13" s="12" t="s">
        <v>40</v>
      </c>
      <c r="G13" s="9" t="s">
        <v>36</v>
      </c>
      <c r="H13" s="9" t="s">
        <v>37</v>
      </c>
      <c r="I13" s="12"/>
      <c r="J13" s="10">
        <v>1</v>
      </c>
      <c r="K13" s="10">
        <v>1</v>
      </c>
      <c r="L13" s="10">
        <v>1</v>
      </c>
      <c r="M13" s="10">
        <v>1</v>
      </c>
      <c r="N13" s="10">
        <v>1</v>
      </c>
    </row>
    <row r="14" spans="1:14" ht="31.95" customHeight="1" x14ac:dyDescent="0.25">
      <c r="A14" s="6">
        <v>3</v>
      </c>
      <c r="B14" s="6" t="s">
        <v>41</v>
      </c>
      <c r="C14" s="7" t="s">
        <v>32</v>
      </c>
      <c r="D14" s="7" t="s">
        <v>33</v>
      </c>
      <c r="E14" s="7" t="s">
        <v>42</v>
      </c>
      <c r="F14" s="7" t="s">
        <v>43</v>
      </c>
      <c r="G14" s="9" t="s">
        <v>36</v>
      </c>
      <c r="H14" s="9" t="s">
        <v>37</v>
      </c>
      <c r="I14" s="7"/>
      <c r="J14" s="10">
        <v>1</v>
      </c>
      <c r="K14" s="10">
        <v>1</v>
      </c>
      <c r="L14" s="10">
        <v>1</v>
      </c>
      <c r="M14" s="10">
        <v>1</v>
      </c>
      <c r="N14" s="10">
        <v>1</v>
      </c>
    </row>
    <row r="15" spans="1:14" ht="31.95" customHeight="1" x14ac:dyDescent="0.25">
      <c r="A15" s="11">
        <v>4</v>
      </c>
      <c r="B15" s="11" t="s">
        <v>44</v>
      </c>
      <c r="C15" s="12" t="s">
        <v>32</v>
      </c>
      <c r="D15" s="12" t="s">
        <v>33</v>
      </c>
      <c r="E15" s="12" t="s">
        <v>45</v>
      </c>
      <c r="F15" s="12" t="s">
        <v>46</v>
      </c>
      <c r="G15" s="9" t="s">
        <v>36</v>
      </c>
      <c r="H15" s="9" t="s">
        <v>37</v>
      </c>
      <c r="I15" s="12"/>
      <c r="J15" s="10">
        <v>1</v>
      </c>
      <c r="K15" s="10">
        <v>1</v>
      </c>
      <c r="L15" s="10">
        <v>1</v>
      </c>
      <c r="M15" s="10">
        <v>1</v>
      </c>
      <c r="N15" s="10">
        <v>1</v>
      </c>
    </row>
    <row r="16" spans="1:14" ht="31.95" customHeight="1" x14ac:dyDescent="0.25">
      <c r="A16" s="6">
        <v>5</v>
      </c>
      <c r="B16" s="6" t="s">
        <v>47</v>
      </c>
      <c r="C16" s="7" t="s">
        <v>32</v>
      </c>
      <c r="D16" s="7" t="s">
        <v>33</v>
      </c>
      <c r="E16" s="7" t="s">
        <v>48</v>
      </c>
      <c r="F16" s="7" t="s">
        <v>49</v>
      </c>
      <c r="G16" s="9" t="s">
        <v>50</v>
      </c>
      <c r="H16" s="9" t="s">
        <v>37</v>
      </c>
      <c r="I16" s="7"/>
      <c r="J16" s="10">
        <v>0.5</v>
      </c>
      <c r="K16" s="10">
        <v>0.5</v>
      </c>
      <c r="L16" s="10">
        <v>0.5</v>
      </c>
      <c r="M16" s="10">
        <v>0.5</v>
      </c>
      <c r="N16" s="10">
        <v>0.5</v>
      </c>
    </row>
    <row r="17" spans="1:14" ht="31.95" customHeight="1" x14ac:dyDescent="0.25">
      <c r="A17" s="11">
        <v>6</v>
      </c>
      <c r="B17" s="11" t="s">
        <v>51</v>
      </c>
      <c r="C17" s="12" t="s">
        <v>32</v>
      </c>
      <c r="D17" s="12" t="s">
        <v>33</v>
      </c>
      <c r="E17" s="12" t="s">
        <v>52</v>
      </c>
      <c r="F17" s="12" t="s">
        <v>53</v>
      </c>
      <c r="G17" s="9" t="s">
        <v>36</v>
      </c>
      <c r="H17" s="9" t="s">
        <v>54</v>
      </c>
      <c r="I17" s="12"/>
      <c r="J17" s="10">
        <v>0.5</v>
      </c>
      <c r="K17" s="10">
        <v>0.5</v>
      </c>
      <c r="L17" s="10">
        <v>0.5</v>
      </c>
      <c r="M17" s="10">
        <v>0.5</v>
      </c>
      <c r="N17" s="10">
        <v>0.5</v>
      </c>
    </row>
    <row r="18" spans="1:14" ht="31.95" customHeight="1" x14ac:dyDescent="0.25">
      <c r="A18" s="6">
        <v>7</v>
      </c>
      <c r="B18" s="6" t="s">
        <v>55</v>
      </c>
      <c r="C18" s="7" t="s">
        <v>56</v>
      </c>
      <c r="D18" s="7" t="s">
        <v>33</v>
      </c>
      <c r="E18" s="7" t="s">
        <v>57</v>
      </c>
      <c r="F18" s="7" t="s">
        <v>58</v>
      </c>
      <c r="G18" s="9" t="s">
        <v>36</v>
      </c>
      <c r="H18" s="9" t="s">
        <v>54</v>
      </c>
      <c r="I18" s="7"/>
      <c r="J18" s="10">
        <v>4</v>
      </c>
      <c r="K18" s="10">
        <v>3.2</v>
      </c>
      <c r="L18" s="10">
        <v>3.2</v>
      </c>
      <c r="M18" s="10">
        <v>2.67</v>
      </c>
      <c r="N18" s="10">
        <v>4</v>
      </c>
    </row>
    <row r="19" spans="1:14" ht="31.95" customHeight="1" x14ac:dyDescent="0.25">
      <c r="A19" s="11">
        <v>8</v>
      </c>
      <c r="B19" s="11" t="s">
        <v>59</v>
      </c>
      <c r="C19" s="12" t="s">
        <v>56</v>
      </c>
      <c r="D19" s="12" t="s">
        <v>33</v>
      </c>
      <c r="E19" s="12" t="s">
        <v>60</v>
      </c>
      <c r="F19" s="12" t="s">
        <v>61</v>
      </c>
      <c r="G19" s="9" t="s">
        <v>36</v>
      </c>
      <c r="H19" s="9" t="s">
        <v>54</v>
      </c>
      <c r="I19" s="12"/>
      <c r="J19" s="10">
        <v>4</v>
      </c>
      <c r="K19" s="10">
        <v>3.2</v>
      </c>
      <c r="L19" s="10">
        <v>3.2</v>
      </c>
      <c r="M19" s="10">
        <v>2.67</v>
      </c>
      <c r="N19" s="10">
        <v>4</v>
      </c>
    </row>
    <row r="20" spans="1:14" ht="31.95" customHeight="1" x14ac:dyDescent="0.25">
      <c r="A20" s="6">
        <v>9</v>
      </c>
      <c r="B20" s="6" t="s">
        <v>62</v>
      </c>
      <c r="C20" s="7" t="s">
        <v>56</v>
      </c>
      <c r="D20" s="7" t="s">
        <v>33</v>
      </c>
      <c r="E20" s="7" t="s">
        <v>63</v>
      </c>
      <c r="F20" s="7" t="s">
        <v>64</v>
      </c>
      <c r="G20" s="9" t="s">
        <v>36</v>
      </c>
      <c r="H20" s="9" t="s">
        <v>54</v>
      </c>
      <c r="I20" s="7"/>
      <c r="J20" s="10">
        <v>3</v>
      </c>
      <c r="K20" s="10">
        <v>2.4</v>
      </c>
      <c r="L20" s="10">
        <v>2.4</v>
      </c>
      <c r="M20" s="10">
        <v>2</v>
      </c>
      <c r="N20" s="10">
        <v>3</v>
      </c>
    </row>
    <row r="21" spans="1:14" ht="31.95" customHeight="1" x14ac:dyDescent="0.25">
      <c r="A21" s="11">
        <v>10</v>
      </c>
      <c r="B21" s="11" t="s">
        <v>65</v>
      </c>
      <c r="C21" s="12" t="s">
        <v>56</v>
      </c>
      <c r="D21" s="12" t="s">
        <v>33</v>
      </c>
      <c r="E21" s="12" t="s">
        <v>66</v>
      </c>
      <c r="F21" s="12" t="s">
        <v>67</v>
      </c>
      <c r="G21" s="9" t="s">
        <v>36</v>
      </c>
      <c r="H21" s="9" t="s">
        <v>54</v>
      </c>
      <c r="I21" s="12"/>
      <c r="J21" s="10">
        <v>4</v>
      </c>
      <c r="K21" s="10">
        <v>3.2</v>
      </c>
      <c r="L21" s="10">
        <v>3.2</v>
      </c>
      <c r="M21" s="10">
        <v>2.66</v>
      </c>
      <c r="N21" s="10">
        <v>4</v>
      </c>
    </row>
    <row r="22" spans="1:14" ht="31.95" customHeight="1" x14ac:dyDescent="0.25">
      <c r="A22" s="6">
        <v>11</v>
      </c>
      <c r="B22" s="6" t="s">
        <v>68</v>
      </c>
      <c r="C22" s="7" t="s">
        <v>69</v>
      </c>
      <c r="D22" s="7" t="s">
        <v>33</v>
      </c>
      <c r="E22" s="7" t="s">
        <v>70</v>
      </c>
      <c r="F22" s="7" t="s">
        <v>71</v>
      </c>
      <c r="G22" s="9" t="s">
        <v>36</v>
      </c>
      <c r="H22" s="9" t="s">
        <v>54</v>
      </c>
      <c r="I22" s="7"/>
      <c r="J22" s="10">
        <v>5.4</v>
      </c>
      <c r="K22" s="10">
        <v>6</v>
      </c>
      <c r="L22" s="10">
        <v>5.4</v>
      </c>
      <c r="M22" s="10">
        <v>6</v>
      </c>
      <c r="N22" s="10">
        <v>6</v>
      </c>
    </row>
    <row r="23" spans="1:14" ht="31.95" customHeight="1" x14ac:dyDescent="0.25">
      <c r="A23" s="11">
        <v>12</v>
      </c>
      <c r="B23" s="11" t="s">
        <v>72</v>
      </c>
      <c r="C23" s="12" t="s">
        <v>69</v>
      </c>
      <c r="D23" s="12" t="s">
        <v>33</v>
      </c>
      <c r="E23" s="12" t="s">
        <v>73</v>
      </c>
      <c r="F23" s="12" t="s">
        <v>74</v>
      </c>
      <c r="G23" s="9" t="s">
        <v>36</v>
      </c>
      <c r="H23" s="9" t="s">
        <v>54</v>
      </c>
      <c r="I23" s="12"/>
      <c r="J23" s="10">
        <v>4.5</v>
      </c>
      <c r="K23" s="10">
        <v>5</v>
      </c>
      <c r="L23" s="10">
        <v>4.5</v>
      </c>
      <c r="M23" s="10">
        <v>5</v>
      </c>
      <c r="N23" s="10">
        <v>5</v>
      </c>
    </row>
    <row r="24" spans="1:14" ht="31.95" customHeight="1" x14ac:dyDescent="0.25">
      <c r="A24" s="6">
        <v>13</v>
      </c>
      <c r="B24" s="6" t="s">
        <v>75</v>
      </c>
      <c r="C24" s="7" t="s">
        <v>69</v>
      </c>
      <c r="D24" s="7" t="s">
        <v>33</v>
      </c>
      <c r="E24" s="7" t="s">
        <v>76</v>
      </c>
      <c r="F24" s="7" t="s">
        <v>77</v>
      </c>
      <c r="G24" s="9" t="s">
        <v>36</v>
      </c>
      <c r="H24" s="9" t="s">
        <v>54</v>
      </c>
      <c r="I24" s="7"/>
      <c r="J24" s="10">
        <v>4.5</v>
      </c>
      <c r="K24" s="10">
        <v>5</v>
      </c>
      <c r="L24" s="10">
        <v>4.5</v>
      </c>
      <c r="M24" s="10">
        <v>5</v>
      </c>
      <c r="N24" s="10">
        <v>5</v>
      </c>
    </row>
    <row r="25" spans="1:14" ht="31.95" customHeight="1" x14ac:dyDescent="0.25">
      <c r="A25" s="11">
        <v>14</v>
      </c>
      <c r="B25" s="11" t="s">
        <v>78</v>
      </c>
      <c r="C25" s="12" t="s">
        <v>69</v>
      </c>
      <c r="D25" s="12" t="s">
        <v>33</v>
      </c>
      <c r="E25" s="12" t="s">
        <v>79</v>
      </c>
      <c r="F25" s="12" t="s">
        <v>80</v>
      </c>
      <c r="G25" s="9" t="s">
        <v>36</v>
      </c>
      <c r="H25" s="9" t="s">
        <v>54</v>
      </c>
      <c r="I25" s="12"/>
      <c r="J25" s="10">
        <v>3.6</v>
      </c>
      <c r="K25" s="10">
        <v>4</v>
      </c>
      <c r="L25" s="10">
        <v>3.6</v>
      </c>
      <c r="M25" s="10">
        <v>4</v>
      </c>
      <c r="N25" s="10">
        <v>4</v>
      </c>
    </row>
    <row r="26" spans="1:14" ht="31.95" customHeight="1" x14ac:dyDescent="0.25">
      <c r="A26" s="6">
        <v>15</v>
      </c>
      <c r="B26" s="6" t="s">
        <v>81</v>
      </c>
      <c r="C26" s="7" t="s">
        <v>82</v>
      </c>
      <c r="D26" s="7" t="s">
        <v>33</v>
      </c>
      <c r="E26" s="7" t="s">
        <v>83</v>
      </c>
      <c r="F26" s="7" t="s">
        <v>84</v>
      </c>
      <c r="G26" s="9" t="s">
        <v>36</v>
      </c>
      <c r="H26" s="9" t="s">
        <v>54</v>
      </c>
      <c r="I26" s="7"/>
      <c r="J26" s="10">
        <v>4</v>
      </c>
      <c r="K26" s="10">
        <v>4</v>
      </c>
      <c r="L26" s="10">
        <v>5</v>
      </c>
      <c r="M26" s="10">
        <v>3.33</v>
      </c>
      <c r="N26" s="10">
        <v>4</v>
      </c>
    </row>
    <row r="27" spans="1:14" ht="31.95" customHeight="1" x14ac:dyDescent="0.25">
      <c r="A27" s="11">
        <v>16</v>
      </c>
      <c r="B27" s="11" t="s">
        <v>85</v>
      </c>
      <c r="C27" s="12" t="s">
        <v>82</v>
      </c>
      <c r="D27" s="12" t="s">
        <v>33</v>
      </c>
      <c r="E27" s="12" t="s">
        <v>86</v>
      </c>
      <c r="F27" s="12" t="s">
        <v>87</v>
      </c>
      <c r="G27" s="9" t="s">
        <v>36</v>
      </c>
      <c r="H27" s="9" t="s">
        <v>54</v>
      </c>
      <c r="I27" s="12"/>
      <c r="J27" s="10">
        <v>3</v>
      </c>
      <c r="K27" s="10">
        <v>3</v>
      </c>
      <c r="L27" s="10">
        <v>3.75</v>
      </c>
      <c r="M27" s="10">
        <v>2.5</v>
      </c>
      <c r="N27" s="10">
        <v>3</v>
      </c>
    </row>
    <row r="28" spans="1:14" ht="31.95" customHeight="1" x14ac:dyDescent="0.25">
      <c r="A28" s="6">
        <v>17</v>
      </c>
      <c r="B28" s="6" t="s">
        <v>88</v>
      </c>
      <c r="C28" s="7" t="s">
        <v>82</v>
      </c>
      <c r="D28" s="7" t="s">
        <v>33</v>
      </c>
      <c r="E28" s="7" t="s">
        <v>89</v>
      </c>
      <c r="F28" s="7" t="s">
        <v>90</v>
      </c>
      <c r="G28" s="9" t="s">
        <v>36</v>
      </c>
      <c r="H28" s="9" t="s">
        <v>54</v>
      </c>
      <c r="I28" s="7"/>
      <c r="J28" s="10">
        <v>3</v>
      </c>
      <c r="K28" s="10">
        <v>3</v>
      </c>
      <c r="L28" s="10">
        <v>3.75</v>
      </c>
      <c r="M28" s="10">
        <v>2.5</v>
      </c>
      <c r="N28" s="10">
        <v>3</v>
      </c>
    </row>
    <row r="29" spans="1:14" ht="31.95" customHeight="1" x14ac:dyDescent="0.25">
      <c r="A29" s="11">
        <v>18</v>
      </c>
      <c r="B29" s="11" t="s">
        <v>91</v>
      </c>
      <c r="C29" s="12" t="s">
        <v>82</v>
      </c>
      <c r="D29" s="12" t="s">
        <v>33</v>
      </c>
      <c r="E29" s="12" t="s">
        <v>92</v>
      </c>
      <c r="F29" s="12" t="s">
        <v>93</v>
      </c>
      <c r="G29" s="9" t="s">
        <v>36</v>
      </c>
      <c r="H29" s="9" t="s">
        <v>54</v>
      </c>
      <c r="I29" s="12"/>
      <c r="J29" s="10">
        <v>2</v>
      </c>
      <c r="K29" s="10">
        <v>2</v>
      </c>
      <c r="L29" s="10">
        <v>2.5</v>
      </c>
      <c r="M29" s="10">
        <v>1.67</v>
      </c>
      <c r="N29" s="10">
        <v>2</v>
      </c>
    </row>
    <row r="30" spans="1:14" ht="31.95" customHeight="1" x14ac:dyDescent="0.25">
      <c r="A30" s="6">
        <v>19</v>
      </c>
      <c r="B30" s="6" t="s">
        <v>94</v>
      </c>
      <c r="C30" s="7" t="s">
        <v>95</v>
      </c>
      <c r="D30" s="7" t="s">
        <v>33</v>
      </c>
      <c r="E30" s="7" t="s">
        <v>96</v>
      </c>
      <c r="F30" s="7" t="s">
        <v>97</v>
      </c>
      <c r="G30" s="9" t="s">
        <v>36</v>
      </c>
      <c r="H30" s="9" t="s">
        <v>54</v>
      </c>
      <c r="I30" s="7"/>
      <c r="J30" s="10">
        <v>6.25</v>
      </c>
      <c r="K30" s="10">
        <v>3.75</v>
      </c>
      <c r="L30" s="10">
        <v>5</v>
      </c>
      <c r="M30" s="10">
        <v>3.12</v>
      </c>
      <c r="N30" s="10">
        <v>5</v>
      </c>
    </row>
    <row r="31" spans="1:14" ht="31.95" customHeight="1" x14ac:dyDescent="0.25">
      <c r="A31" s="11">
        <v>20</v>
      </c>
      <c r="B31" s="11" t="s">
        <v>98</v>
      </c>
      <c r="C31" s="12" t="s">
        <v>95</v>
      </c>
      <c r="D31" s="12" t="s">
        <v>33</v>
      </c>
      <c r="E31" s="12" t="s">
        <v>99</v>
      </c>
      <c r="F31" s="12" t="s">
        <v>100</v>
      </c>
      <c r="G31" s="9" t="s">
        <v>36</v>
      </c>
      <c r="H31" s="9" t="s">
        <v>54</v>
      </c>
      <c r="I31" s="12"/>
      <c r="J31" s="10">
        <v>3.75</v>
      </c>
      <c r="K31" s="10">
        <v>2.25</v>
      </c>
      <c r="L31" s="10">
        <v>3</v>
      </c>
      <c r="M31" s="10">
        <v>1.88</v>
      </c>
      <c r="N31" s="10">
        <v>3</v>
      </c>
    </row>
    <row r="32" spans="1:14" ht="31.95" customHeight="1" x14ac:dyDescent="0.25">
      <c r="A32" s="6">
        <v>21</v>
      </c>
      <c r="B32" s="6" t="s">
        <v>101</v>
      </c>
      <c r="C32" s="7" t="s">
        <v>102</v>
      </c>
      <c r="D32" s="7" t="s">
        <v>33</v>
      </c>
      <c r="E32" s="7" t="s">
        <v>103</v>
      </c>
      <c r="F32" s="7" t="s">
        <v>104</v>
      </c>
      <c r="G32" s="9" t="s">
        <v>36</v>
      </c>
      <c r="H32" s="9" t="s">
        <v>54</v>
      </c>
      <c r="I32" s="7"/>
      <c r="J32" s="10">
        <v>4</v>
      </c>
      <c r="K32" s="10">
        <v>6</v>
      </c>
      <c r="L32" s="10">
        <v>4.8</v>
      </c>
      <c r="M32" s="10">
        <v>6</v>
      </c>
      <c r="N32" s="10">
        <v>4</v>
      </c>
    </row>
    <row r="33" spans="1:14" ht="31.95" customHeight="1" x14ac:dyDescent="0.25">
      <c r="A33" s="11">
        <v>22</v>
      </c>
      <c r="B33" s="11" t="s">
        <v>105</v>
      </c>
      <c r="C33" s="12" t="s">
        <v>102</v>
      </c>
      <c r="D33" s="12" t="s">
        <v>33</v>
      </c>
      <c r="E33" s="12" t="s">
        <v>106</v>
      </c>
      <c r="F33" s="12" t="s">
        <v>107</v>
      </c>
      <c r="G33" s="9" t="s">
        <v>36</v>
      </c>
      <c r="H33" s="9" t="s">
        <v>54</v>
      </c>
      <c r="I33" s="12"/>
      <c r="J33" s="10">
        <v>3</v>
      </c>
      <c r="K33" s="10">
        <v>4.5</v>
      </c>
      <c r="L33" s="10">
        <v>3.6</v>
      </c>
      <c r="M33" s="10">
        <v>4.5</v>
      </c>
      <c r="N33" s="10">
        <v>3</v>
      </c>
    </row>
    <row r="34" spans="1:14" ht="31.95" customHeight="1" x14ac:dyDescent="0.25">
      <c r="A34" s="6">
        <v>23</v>
      </c>
      <c r="B34" s="6" t="s">
        <v>108</v>
      </c>
      <c r="C34" s="7" t="s">
        <v>102</v>
      </c>
      <c r="D34" s="7" t="s">
        <v>33</v>
      </c>
      <c r="E34" s="7" t="s">
        <v>109</v>
      </c>
      <c r="F34" s="7" t="s">
        <v>110</v>
      </c>
      <c r="G34" s="9" t="s">
        <v>36</v>
      </c>
      <c r="H34" s="9" t="s">
        <v>54</v>
      </c>
      <c r="I34" s="7"/>
      <c r="J34" s="10">
        <v>3</v>
      </c>
      <c r="K34" s="10">
        <v>4.5</v>
      </c>
      <c r="L34" s="10">
        <v>3.6</v>
      </c>
      <c r="M34" s="10">
        <v>4.5</v>
      </c>
      <c r="N34" s="10">
        <v>3</v>
      </c>
    </row>
    <row r="35" spans="1:14" ht="31.95" customHeight="1" x14ac:dyDescent="0.25">
      <c r="A35" s="11">
        <v>24</v>
      </c>
      <c r="B35" s="11" t="s">
        <v>111</v>
      </c>
      <c r="C35" s="12" t="s">
        <v>112</v>
      </c>
      <c r="D35" s="12" t="s">
        <v>33</v>
      </c>
      <c r="E35" s="12" t="s">
        <v>113</v>
      </c>
      <c r="F35" s="12" t="s">
        <v>114</v>
      </c>
      <c r="G35" s="9" t="s">
        <v>36</v>
      </c>
      <c r="H35" s="9" t="s">
        <v>54</v>
      </c>
      <c r="I35" s="12"/>
      <c r="J35" s="10">
        <v>4</v>
      </c>
      <c r="K35" s="10">
        <v>3.2</v>
      </c>
      <c r="L35" s="10">
        <v>3.2</v>
      </c>
      <c r="M35" s="10">
        <v>4</v>
      </c>
      <c r="N35" s="10">
        <v>4</v>
      </c>
    </row>
    <row r="36" spans="1:14" ht="31.95" customHeight="1" x14ac:dyDescent="0.25">
      <c r="A36" s="6">
        <v>25</v>
      </c>
      <c r="B36" s="6" t="s">
        <v>115</v>
      </c>
      <c r="C36" s="7" t="s">
        <v>112</v>
      </c>
      <c r="D36" s="7" t="s">
        <v>33</v>
      </c>
      <c r="E36" s="7" t="s">
        <v>116</v>
      </c>
      <c r="F36" s="7" t="s">
        <v>117</v>
      </c>
      <c r="G36" s="9" t="s">
        <v>36</v>
      </c>
      <c r="H36" s="9" t="s">
        <v>54</v>
      </c>
      <c r="I36" s="7"/>
      <c r="J36" s="10">
        <v>4</v>
      </c>
      <c r="K36" s="10">
        <v>3.2</v>
      </c>
      <c r="L36" s="10">
        <v>3.2</v>
      </c>
      <c r="M36" s="10">
        <v>4</v>
      </c>
      <c r="N36" s="10">
        <v>4</v>
      </c>
    </row>
    <row r="37" spans="1:14" ht="31.95" customHeight="1" x14ac:dyDescent="0.25">
      <c r="A37" s="11">
        <v>26</v>
      </c>
      <c r="B37" s="11" t="s">
        <v>118</v>
      </c>
      <c r="C37" s="12" t="s">
        <v>112</v>
      </c>
      <c r="D37" s="12" t="s">
        <v>33</v>
      </c>
      <c r="E37" s="12" t="s">
        <v>119</v>
      </c>
      <c r="F37" s="12" t="s">
        <v>120</v>
      </c>
      <c r="G37" s="9" t="s">
        <v>36</v>
      </c>
      <c r="H37" s="9" t="s">
        <v>54</v>
      </c>
      <c r="I37" s="12"/>
      <c r="J37" s="10">
        <v>2</v>
      </c>
      <c r="K37" s="10">
        <v>1.6</v>
      </c>
      <c r="L37" s="10">
        <v>1.6</v>
      </c>
      <c r="M37" s="10">
        <v>2</v>
      </c>
      <c r="N37" s="10">
        <v>2</v>
      </c>
    </row>
    <row r="38" spans="1:14" ht="46.05" customHeight="1" x14ac:dyDescent="0.25">
      <c r="A38" s="6">
        <v>27</v>
      </c>
      <c r="B38" s="6" t="s">
        <v>121</v>
      </c>
      <c r="C38" s="7" t="s">
        <v>122</v>
      </c>
      <c r="D38" s="7" t="s">
        <v>26</v>
      </c>
      <c r="E38" s="7" t="s">
        <v>123</v>
      </c>
      <c r="F38" s="7" t="s">
        <v>124</v>
      </c>
      <c r="G38" s="9" t="s">
        <v>36</v>
      </c>
      <c r="H38" s="9" t="s">
        <v>54</v>
      </c>
      <c r="I38" s="7" t="s">
        <v>125</v>
      </c>
      <c r="J38" s="10">
        <v>2.5</v>
      </c>
      <c r="K38" s="10">
        <v>0</v>
      </c>
      <c r="L38" s="10">
        <v>0</v>
      </c>
      <c r="M38" s="10">
        <v>0</v>
      </c>
      <c r="N38" s="10">
        <v>0</v>
      </c>
    </row>
    <row r="39" spans="1:14" ht="46.05" customHeight="1" x14ac:dyDescent="0.25">
      <c r="A39" s="11">
        <v>28</v>
      </c>
      <c r="B39" s="11" t="s">
        <v>126</v>
      </c>
      <c r="C39" s="12" t="s">
        <v>122</v>
      </c>
      <c r="D39" s="12" t="s">
        <v>26</v>
      </c>
      <c r="E39" s="12" t="s">
        <v>127</v>
      </c>
      <c r="F39" s="12" t="s">
        <v>128</v>
      </c>
      <c r="G39" s="9" t="s">
        <v>36</v>
      </c>
      <c r="H39" s="9" t="s">
        <v>54</v>
      </c>
      <c r="I39" s="12" t="s">
        <v>129</v>
      </c>
      <c r="J39" s="10">
        <v>2.5</v>
      </c>
      <c r="K39" s="10">
        <v>0</v>
      </c>
      <c r="L39" s="10">
        <v>0</v>
      </c>
      <c r="M39" s="10">
        <v>0</v>
      </c>
      <c r="N39" s="10">
        <v>0</v>
      </c>
    </row>
    <row r="40" spans="1:14" ht="46.05" customHeight="1" x14ac:dyDescent="0.25">
      <c r="A40" s="6">
        <v>29</v>
      </c>
      <c r="B40" s="6" t="s">
        <v>130</v>
      </c>
      <c r="C40" s="7" t="s">
        <v>122</v>
      </c>
      <c r="D40" s="7" t="s">
        <v>26</v>
      </c>
      <c r="E40" s="7" t="s">
        <v>131</v>
      </c>
      <c r="F40" s="7" t="s">
        <v>132</v>
      </c>
      <c r="G40" s="9" t="s">
        <v>36</v>
      </c>
      <c r="H40" s="9" t="s">
        <v>54</v>
      </c>
      <c r="I40" s="7" t="s">
        <v>133</v>
      </c>
      <c r="J40" s="10">
        <v>2.5</v>
      </c>
      <c r="K40" s="10">
        <v>0</v>
      </c>
      <c r="L40" s="10">
        <v>0</v>
      </c>
      <c r="M40" s="10">
        <v>0</v>
      </c>
      <c r="N40" s="10">
        <v>0</v>
      </c>
    </row>
    <row r="41" spans="1:14" ht="46.05" customHeight="1" x14ac:dyDescent="0.25">
      <c r="A41" s="11">
        <v>30</v>
      </c>
      <c r="B41" s="11" t="s">
        <v>134</v>
      </c>
      <c r="C41" s="12" t="s">
        <v>122</v>
      </c>
      <c r="D41" s="12" t="s">
        <v>26</v>
      </c>
      <c r="E41" s="12" t="s">
        <v>135</v>
      </c>
      <c r="F41" s="12" t="s">
        <v>136</v>
      </c>
      <c r="G41" s="9" t="s">
        <v>36</v>
      </c>
      <c r="H41" s="9" t="s">
        <v>54</v>
      </c>
      <c r="I41" s="12" t="s">
        <v>137</v>
      </c>
      <c r="J41" s="10">
        <v>2.5</v>
      </c>
      <c r="K41" s="10">
        <v>0</v>
      </c>
      <c r="L41" s="10">
        <v>0</v>
      </c>
      <c r="M41" s="10">
        <v>0</v>
      </c>
      <c r="N41" s="10">
        <v>0</v>
      </c>
    </row>
    <row r="42" spans="1:14" ht="46.05" customHeight="1" x14ac:dyDescent="0.25">
      <c r="A42" s="6">
        <v>31</v>
      </c>
      <c r="B42" s="6" t="s">
        <v>138</v>
      </c>
      <c r="C42" s="7" t="s">
        <v>122</v>
      </c>
      <c r="D42" s="7" t="s">
        <v>26</v>
      </c>
      <c r="E42" s="7" t="s">
        <v>139</v>
      </c>
      <c r="F42" s="7" t="s">
        <v>140</v>
      </c>
      <c r="G42" s="9" t="s">
        <v>36</v>
      </c>
      <c r="H42" s="9" t="s">
        <v>54</v>
      </c>
      <c r="I42" s="7" t="s">
        <v>141</v>
      </c>
      <c r="J42" s="10">
        <v>2.5</v>
      </c>
      <c r="K42" s="10">
        <v>0</v>
      </c>
      <c r="L42" s="10">
        <v>0</v>
      </c>
      <c r="M42" s="10">
        <v>0</v>
      </c>
      <c r="N42" s="10">
        <v>0</v>
      </c>
    </row>
    <row r="43" spans="1:14" ht="46.05" customHeight="1" x14ac:dyDescent="0.25">
      <c r="A43" s="11">
        <v>32</v>
      </c>
      <c r="B43" s="11" t="s">
        <v>142</v>
      </c>
      <c r="C43" s="12" t="s">
        <v>122</v>
      </c>
      <c r="D43" s="12" t="s">
        <v>26</v>
      </c>
      <c r="E43" s="12" t="s">
        <v>143</v>
      </c>
      <c r="F43" s="12" t="s">
        <v>144</v>
      </c>
      <c r="G43" s="9" t="s">
        <v>36</v>
      </c>
      <c r="H43" s="9" t="s">
        <v>54</v>
      </c>
      <c r="I43" s="12" t="s">
        <v>145</v>
      </c>
      <c r="J43" s="10">
        <v>2.5</v>
      </c>
      <c r="K43" s="10">
        <v>0</v>
      </c>
      <c r="L43" s="10">
        <v>0</v>
      </c>
      <c r="M43" s="10">
        <v>0</v>
      </c>
      <c r="N43" s="10">
        <v>0</v>
      </c>
    </row>
    <row r="44" spans="1:14" ht="46.05" customHeight="1" x14ac:dyDescent="0.25">
      <c r="A44" s="6">
        <v>33</v>
      </c>
      <c r="B44" s="6" t="s">
        <v>146</v>
      </c>
      <c r="C44" s="7" t="s">
        <v>122</v>
      </c>
      <c r="D44" s="7" t="s">
        <v>26</v>
      </c>
      <c r="E44" s="7" t="s">
        <v>147</v>
      </c>
      <c r="F44" s="7" t="s">
        <v>148</v>
      </c>
      <c r="G44" s="9" t="s">
        <v>36</v>
      </c>
      <c r="H44" s="9" t="s">
        <v>54</v>
      </c>
      <c r="I44" s="7" t="s">
        <v>149</v>
      </c>
      <c r="J44" s="10">
        <v>2.5</v>
      </c>
      <c r="K44" s="10">
        <v>0</v>
      </c>
      <c r="L44" s="10">
        <v>0</v>
      </c>
      <c r="M44" s="10">
        <v>0</v>
      </c>
      <c r="N44" s="10">
        <v>0</v>
      </c>
    </row>
    <row r="45" spans="1:14" ht="46.05" customHeight="1" x14ac:dyDescent="0.25">
      <c r="A45" s="11">
        <v>34</v>
      </c>
      <c r="B45" s="11" t="s">
        <v>150</v>
      </c>
      <c r="C45" s="12" t="s">
        <v>122</v>
      </c>
      <c r="D45" s="12" t="s">
        <v>26</v>
      </c>
      <c r="E45" s="12" t="s">
        <v>151</v>
      </c>
      <c r="F45" s="12" t="s">
        <v>152</v>
      </c>
      <c r="G45" s="9" t="s">
        <v>36</v>
      </c>
      <c r="H45" s="9" t="s">
        <v>54</v>
      </c>
      <c r="I45" s="12" t="s">
        <v>153</v>
      </c>
      <c r="J45" s="10">
        <v>2.5</v>
      </c>
      <c r="K45" s="10">
        <v>0</v>
      </c>
      <c r="L45" s="10">
        <v>0</v>
      </c>
      <c r="M45" s="10">
        <v>0</v>
      </c>
      <c r="N45" s="10">
        <v>0</v>
      </c>
    </row>
    <row r="46" spans="1:14" ht="46.05" customHeight="1" x14ac:dyDescent="0.25">
      <c r="A46" s="6">
        <v>35</v>
      </c>
      <c r="B46" s="6" t="s">
        <v>154</v>
      </c>
      <c r="C46" s="7" t="s">
        <v>122</v>
      </c>
      <c r="D46" s="7" t="s">
        <v>27</v>
      </c>
      <c r="E46" s="7" t="s">
        <v>155</v>
      </c>
      <c r="F46" s="7" t="s">
        <v>156</v>
      </c>
      <c r="G46" s="9" t="s">
        <v>36</v>
      </c>
      <c r="H46" s="9" t="s">
        <v>54</v>
      </c>
      <c r="I46" s="7" t="s">
        <v>157</v>
      </c>
      <c r="J46" s="10">
        <v>0</v>
      </c>
      <c r="K46" s="10">
        <v>3.14</v>
      </c>
      <c r="L46" s="10">
        <v>0</v>
      </c>
      <c r="M46" s="10">
        <v>0</v>
      </c>
      <c r="N46" s="10">
        <v>0</v>
      </c>
    </row>
    <row r="47" spans="1:14" ht="46.05" customHeight="1" x14ac:dyDescent="0.25">
      <c r="A47" s="11">
        <v>36</v>
      </c>
      <c r="B47" s="11" t="s">
        <v>158</v>
      </c>
      <c r="C47" s="12" t="s">
        <v>122</v>
      </c>
      <c r="D47" s="12" t="s">
        <v>27</v>
      </c>
      <c r="E47" s="12" t="s">
        <v>159</v>
      </c>
      <c r="F47" s="12" t="s">
        <v>160</v>
      </c>
      <c r="G47" s="9" t="s">
        <v>36</v>
      </c>
      <c r="H47" s="9" t="s">
        <v>54</v>
      </c>
      <c r="I47" s="12" t="s">
        <v>161</v>
      </c>
      <c r="J47" s="10">
        <v>0</v>
      </c>
      <c r="K47" s="10">
        <v>3.14</v>
      </c>
      <c r="L47" s="10">
        <v>0</v>
      </c>
      <c r="M47" s="10">
        <v>0</v>
      </c>
      <c r="N47" s="10">
        <v>0</v>
      </c>
    </row>
    <row r="48" spans="1:14" ht="46.05" customHeight="1" x14ac:dyDescent="0.25">
      <c r="A48" s="6">
        <v>37</v>
      </c>
      <c r="B48" s="6" t="s">
        <v>162</v>
      </c>
      <c r="C48" s="7" t="s">
        <v>122</v>
      </c>
      <c r="D48" s="7" t="s">
        <v>27</v>
      </c>
      <c r="E48" s="7" t="s">
        <v>163</v>
      </c>
      <c r="F48" s="7" t="s">
        <v>164</v>
      </c>
      <c r="G48" s="9" t="s">
        <v>36</v>
      </c>
      <c r="H48" s="9" t="s">
        <v>54</v>
      </c>
      <c r="I48" s="7" t="s">
        <v>165</v>
      </c>
      <c r="J48" s="10">
        <v>0</v>
      </c>
      <c r="K48" s="10">
        <v>3.14</v>
      </c>
      <c r="L48" s="10">
        <v>0</v>
      </c>
      <c r="M48" s="10">
        <v>0</v>
      </c>
      <c r="N48" s="10">
        <v>0</v>
      </c>
    </row>
    <row r="49" spans="1:14" ht="46.05" customHeight="1" x14ac:dyDescent="0.25">
      <c r="A49" s="11">
        <v>38</v>
      </c>
      <c r="B49" s="11" t="s">
        <v>166</v>
      </c>
      <c r="C49" s="12" t="s">
        <v>122</v>
      </c>
      <c r="D49" s="12" t="s">
        <v>27</v>
      </c>
      <c r="E49" s="12" t="s">
        <v>167</v>
      </c>
      <c r="F49" s="12" t="s">
        <v>168</v>
      </c>
      <c r="G49" s="9" t="s">
        <v>36</v>
      </c>
      <c r="H49" s="9" t="s">
        <v>54</v>
      </c>
      <c r="I49" s="12" t="s">
        <v>169</v>
      </c>
      <c r="J49" s="10">
        <v>0</v>
      </c>
      <c r="K49" s="10">
        <v>3.14</v>
      </c>
      <c r="L49" s="10">
        <v>0</v>
      </c>
      <c r="M49" s="10">
        <v>0</v>
      </c>
      <c r="N49" s="10">
        <v>0</v>
      </c>
    </row>
    <row r="50" spans="1:14" ht="31.95" customHeight="1" x14ac:dyDescent="0.25">
      <c r="A50" s="6">
        <v>39</v>
      </c>
      <c r="B50" s="6" t="s">
        <v>170</v>
      </c>
      <c r="C50" s="7" t="s">
        <v>122</v>
      </c>
      <c r="D50" s="7" t="s">
        <v>27</v>
      </c>
      <c r="E50" s="7" t="s">
        <v>171</v>
      </c>
      <c r="F50" s="7" t="s">
        <v>172</v>
      </c>
      <c r="G50" s="9" t="s">
        <v>36</v>
      </c>
      <c r="H50" s="9" t="s">
        <v>54</v>
      </c>
      <c r="I50" s="7" t="s">
        <v>173</v>
      </c>
      <c r="J50" s="10">
        <v>0</v>
      </c>
      <c r="K50" s="10">
        <v>3.14</v>
      </c>
      <c r="L50" s="10">
        <v>0</v>
      </c>
      <c r="M50" s="10">
        <v>0</v>
      </c>
      <c r="N50" s="10">
        <v>0</v>
      </c>
    </row>
    <row r="51" spans="1:14" ht="31.95" customHeight="1" x14ac:dyDescent="0.25">
      <c r="A51" s="11">
        <v>40</v>
      </c>
      <c r="B51" s="11" t="s">
        <v>174</v>
      </c>
      <c r="C51" s="12" t="s">
        <v>122</v>
      </c>
      <c r="D51" s="12" t="s">
        <v>27</v>
      </c>
      <c r="E51" s="12" t="s">
        <v>175</v>
      </c>
      <c r="F51" s="12" t="s">
        <v>176</v>
      </c>
      <c r="G51" s="9" t="s">
        <v>36</v>
      </c>
      <c r="H51" s="9" t="s">
        <v>54</v>
      </c>
      <c r="I51" s="12" t="s">
        <v>177</v>
      </c>
      <c r="J51" s="10">
        <v>0</v>
      </c>
      <c r="K51" s="10">
        <v>3.14</v>
      </c>
      <c r="L51" s="10">
        <v>0</v>
      </c>
      <c r="M51" s="10">
        <v>0</v>
      </c>
      <c r="N51" s="10">
        <v>0</v>
      </c>
    </row>
    <row r="52" spans="1:14" ht="46.05" customHeight="1" x14ac:dyDescent="0.25">
      <c r="A52" s="6">
        <v>41</v>
      </c>
      <c r="B52" s="6" t="s">
        <v>178</v>
      </c>
      <c r="C52" s="7" t="s">
        <v>122</v>
      </c>
      <c r="D52" s="7" t="s">
        <v>27</v>
      </c>
      <c r="E52" s="7" t="s">
        <v>179</v>
      </c>
      <c r="F52" s="7" t="s">
        <v>180</v>
      </c>
      <c r="G52" s="9" t="s">
        <v>36</v>
      </c>
      <c r="H52" s="9" t="s">
        <v>54</v>
      </c>
      <c r="I52" s="7" t="s">
        <v>181</v>
      </c>
      <c r="J52" s="10">
        <v>0</v>
      </c>
      <c r="K52" s="10">
        <v>3.16</v>
      </c>
      <c r="L52" s="10">
        <v>0</v>
      </c>
      <c r="M52" s="10">
        <v>0</v>
      </c>
      <c r="N52" s="10">
        <v>0</v>
      </c>
    </row>
    <row r="53" spans="1:14" ht="46.05" customHeight="1" x14ac:dyDescent="0.25">
      <c r="A53" s="11">
        <v>42</v>
      </c>
      <c r="B53" s="11" t="s">
        <v>182</v>
      </c>
      <c r="C53" s="12" t="s">
        <v>122</v>
      </c>
      <c r="D53" s="12" t="s">
        <v>28</v>
      </c>
      <c r="E53" s="12" t="s">
        <v>183</v>
      </c>
      <c r="F53" s="12" t="s">
        <v>184</v>
      </c>
      <c r="G53" s="9" t="s">
        <v>36</v>
      </c>
      <c r="H53" s="9" t="s">
        <v>54</v>
      </c>
      <c r="I53" s="12" t="s">
        <v>185</v>
      </c>
      <c r="J53" s="10">
        <v>0</v>
      </c>
      <c r="K53" s="10">
        <v>0</v>
      </c>
      <c r="L53" s="10">
        <v>2.75</v>
      </c>
      <c r="M53" s="10">
        <v>0</v>
      </c>
      <c r="N53" s="10">
        <v>0</v>
      </c>
    </row>
    <row r="54" spans="1:14" ht="46.05" customHeight="1" x14ac:dyDescent="0.25">
      <c r="A54" s="6">
        <v>43</v>
      </c>
      <c r="B54" s="6" t="s">
        <v>186</v>
      </c>
      <c r="C54" s="7" t="s">
        <v>122</v>
      </c>
      <c r="D54" s="7" t="s">
        <v>28</v>
      </c>
      <c r="E54" s="7" t="s">
        <v>187</v>
      </c>
      <c r="F54" s="7" t="s">
        <v>188</v>
      </c>
      <c r="G54" s="9" t="s">
        <v>36</v>
      </c>
      <c r="H54" s="9" t="s">
        <v>54</v>
      </c>
      <c r="I54" s="7" t="s">
        <v>189</v>
      </c>
      <c r="J54" s="10">
        <v>0</v>
      </c>
      <c r="K54" s="10">
        <v>0</v>
      </c>
      <c r="L54" s="10">
        <v>2.75</v>
      </c>
      <c r="M54" s="10">
        <v>0</v>
      </c>
      <c r="N54" s="10">
        <v>0</v>
      </c>
    </row>
    <row r="55" spans="1:14" ht="46.05" customHeight="1" x14ac:dyDescent="0.25">
      <c r="A55" s="11">
        <v>44</v>
      </c>
      <c r="B55" s="11" t="s">
        <v>190</v>
      </c>
      <c r="C55" s="12" t="s">
        <v>122</v>
      </c>
      <c r="D55" s="12" t="s">
        <v>28</v>
      </c>
      <c r="E55" s="12" t="s">
        <v>191</v>
      </c>
      <c r="F55" s="12" t="s">
        <v>192</v>
      </c>
      <c r="G55" s="9" t="s">
        <v>36</v>
      </c>
      <c r="H55" s="9" t="s">
        <v>54</v>
      </c>
      <c r="I55" s="12" t="s">
        <v>193</v>
      </c>
      <c r="J55" s="10">
        <v>0</v>
      </c>
      <c r="K55" s="10">
        <v>0</v>
      </c>
      <c r="L55" s="10">
        <v>2.75</v>
      </c>
      <c r="M55" s="10">
        <v>0</v>
      </c>
      <c r="N55" s="10">
        <v>0</v>
      </c>
    </row>
    <row r="56" spans="1:14" ht="46.05" customHeight="1" x14ac:dyDescent="0.25">
      <c r="A56" s="6">
        <v>45</v>
      </c>
      <c r="B56" s="6" t="s">
        <v>194</v>
      </c>
      <c r="C56" s="7" t="s">
        <v>122</v>
      </c>
      <c r="D56" s="7" t="s">
        <v>28</v>
      </c>
      <c r="E56" s="7" t="s">
        <v>195</v>
      </c>
      <c r="F56" s="7" t="s">
        <v>196</v>
      </c>
      <c r="G56" s="9" t="s">
        <v>36</v>
      </c>
      <c r="H56" s="9" t="s">
        <v>54</v>
      </c>
      <c r="I56" s="7" t="s">
        <v>197</v>
      </c>
      <c r="J56" s="10">
        <v>0</v>
      </c>
      <c r="K56" s="10">
        <v>0</v>
      </c>
      <c r="L56" s="10">
        <v>2.75</v>
      </c>
      <c r="M56" s="10">
        <v>0</v>
      </c>
      <c r="N56" s="10">
        <v>0</v>
      </c>
    </row>
    <row r="57" spans="1:14" ht="46.05" customHeight="1" x14ac:dyDescent="0.25">
      <c r="A57" s="11">
        <v>46</v>
      </c>
      <c r="B57" s="11" t="s">
        <v>198</v>
      </c>
      <c r="C57" s="12" t="s">
        <v>122</v>
      </c>
      <c r="D57" s="12" t="s">
        <v>28</v>
      </c>
      <c r="E57" s="12" t="s">
        <v>199</v>
      </c>
      <c r="F57" s="12" t="s">
        <v>200</v>
      </c>
      <c r="G57" s="9" t="s">
        <v>36</v>
      </c>
      <c r="H57" s="9" t="s">
        <v>54</v>
      </c>
      <c r="I57" s="12" t="s">
        <v>201</v>
      </c>
      <c r="J57" s="10">
        <v>0</v>
      </c>
      <c r="K57" s="10">
        <v>0</v>
      </c>
      <c r="L57" s="10">
        <v>2.75</v>
      </c>
      <c r="M57" s="10">
        <v>0</v>
      </c>
      <c r="N57" s="10">
        <v>0</v>
      </c>
    </row>
    <row r="58" spans="1:14" ht="46.05" customHeight="1" x14ac:dyDescent="0.25">
      <c r="A58" s="6">
        <v>47</v>
      </c>
      <c r="B58" s="6" t="s">
        <v>202</v>
      </c>
      <c r="C58" s="7" t="s">
        <v>122</v>
      </c>
      <c r="D58" s="7" t="s">
        <v>28</v>
      </c>
      <c r="E58" s="7" t="s">
        <v>203</v>
      </c>
      <c r="F58" s="7" t="s">
        <v>204</v>
      </c>
      <c r="G58" s="9" t="s">
        <v>36</v>
      </c>
      <c r="H58" s="9" t="s">
        <v>54</v>
      </c>
      <c r="I58" s="7" t="s">
        <v>205</v>
      </c>
      <c r="J58" s="10">
        <v>0</v>
      </c>
      <c r="K58" s="10">
        <v>0</v>
      </c>
      <c r="L58" s="10">
        <v>2.75</v>
      </c>
      <c r="M58" s="10">
        <v>0</v>
      </c>
      <c r="N58" s="10">
        <v>0</v>
      </c>
    </row>
    <row r="59" spans="1:14" ht="46.05" customHeight="1" x14ac:dyDescent="0.25">
      <c r="A59" s="11">
        <v>48</v>
      </c>
      <c r="B59" s="11" t="s">
        <v>206</v>
      </c>
      <c r="C59" s="12" t="s">
        <v>122</v>
      </c>
      <c r="D59" s="12" t="s">
        <v>28</v>
      </c>
      <c r="E59" s="12" t="s">
        <v>207</v>
      </c>
      <c r="F59" s="12" t="s">
        <v>208</v>
      </c>
      <c r="G59" s="9" t="s">
        <v>36</v>
      </c>
      <c r="H59" s="9" t="s">
        <v>54</v>
      </c>
      <c r="I59" s="12" t="s">
        <v>209</v>
      </c>
      <c r="J59" s="10">
        <v>0</v>
      </c>
      <c r="K59" s="10">
        <v>0</v>
      </c>
      <c r="L59" s="10">
        <v>2.75</v>
      </c>
      <c r="M59" s="10">
        <v>0</v>
      </c>
      <c r="N59" s="10">
        <v>0</v>
      </c>
    </row>
    <row r="60" spans="1:14" ht="46.05" customHeight="1" x14ac:dyDescent="0.25">
      <c r="A60" s="6">
        <v>49</v>
      </c>
      <c r="B60" s="6" t="s">
        <v>210</v>
      </c>
      <c r="C60" s="7" t="s">
        <v>122</v>
      </c>
      <c r="D60" s="7" t="s">
        <v>28</v>
      </c>
      <c r="E60" s="7" t="s">
        <v>211</v>
      </c>
      <c r="F60" s="7" t="s">
        <v>212</v>
      </c>
      <c r="G60" s="9" t="s">
        <v>36</v>
      </c>
      <c r="H60" s="9" t="s">
        <v>54</v>
      </c>
      <c r="I60" s="7" t="s">
        <v>213</v>
      </c>
      <c r="J60" s="10">
        <v>0</v>
      </c>
      <c r="K60" s="10">
        <v>0</v>
      </c>
      <c r="L60" s="10">
        <v>2.75</v>
      </c>
      <c r="M60" s="10">
        <v>0</v>
      </c>
      <c r="N60" s="10">
        <v>0</v>
      </c>
    </row>
    <row r="61" spans="1:14" ht="46.05" customHeight="1" x14ac:dyDescent="0.25">
      <c r="A61" s="11">
        <v>50</v>
      </c>
      <c r="B61" s="11" t="s">
        <v>214</v>
      </c>
      <c r="C61" s="12" t="s">
        <v>122</v>
      </c>
      <c r="D61" s="12" t="s">
        <v>29</v>
      </c>
      <c r="E61" s="12" t="s">
        <v>215</v>
      </c>
      <c r="F61" s="12" t="s">
        <v>216</v>
      </c>
      <c r="G61" s="9" t="s">
        <v>36</v>
      </c>
      <c r="H61" s="9" t="s">
        <v>54</v>
      </c>
      <c r="I61" s="12" t="s">
        <v>217</v>
      </c>
      <c r="J61" s="10">
        <v>0</v>
      </c>
      <c r="K61" s="10">
        <v>0</v>
      </c>
      <c r="L61" s="10">
        <v>0</v>
      </c>
      <c r="M61" s="10">
        <v>3.57</v>
      </c>
      <c r="N61" s="10">
        <v>0</v>
      </c>
    </row>
    <row r="62" spans="1:14" ht="46.05" customHeight="1" x14ac:dyDescent="0.25">
      <c r="A62" s="6">
        <v>51</v>
      </c>
      <c r="B62" s="6" t="s">
        <v>218</v>
      </c>
      <c r="C62" s="7" t="s">
        <v>122</v>
      </c>
      <c r="D62" s="7" t="s">
        <v>29</v>
      </c>
      <c r="E62" s="7" t="s">
        <v>219</v>
      </c>
      <c r="F62" s="7" t="s">
        <v>220</v>
      </c>
      <c r="G62" s="9" t="s">
        <v>36</v>
      </c>
      <c r="H62" s="9" t="s">
        <v>54</v>
      </c>
      <c r="I62" s="7" t="s">
        <v>221</v>
      </c>
      <c r="J62" s="10">
        <v>0</v>
      </c>
      <c r="K62" s="10">
        <v>0</v>
      </c>
      <c r="L62" s="10">
        <v>0</v>
      </c>
      <c r="M62" s="10">
        <v>3.57</v>
      </c>
      <c r="N62" s="10">
        <v>0</v>
      </c>
    </row>
    <row r="63" spans="1:14" ht="31.95" customHeight="1" x14ac:dyDescent="0.25">
      <c r="A63" s="11">
        <v>52</v>
      </c>
      <c r="B63" s="11" t="s">
        <v>222</v>
      </c>
      <c r="C63" s="12" t="s">
        <v>122</v>
      </c>
      <c r="D63" s="12" t="s">
        <v>29</v>
      </c>
      <c r="E63" s="12" t="s">
        <v>223</v>
      </c>
      <c r="F63" s="12" t="s">
        <v>224</v>
      </c>
      <c r="G63" s="9" t="s">
        <v>36</v>
      </c>
      <c r="H63" s="9" t="s">
        <v>54</v>
      </c>
      <c r="I63" s="12" t="s">
        <v>225</v>
      </c>
      <c r="J63" s="10">
        <v>0</v>
      </c>
      <c r="K63" s="10">
        <v>0</v>
      </c>
      <c r="L63" s="10">
        <v>0</v>
      </c>
      <c r="M63" s="10">
        <v>3.57</v>
      </c>
      <c r="N63" s="10">
        <v>0</v>
      </c>
    </row>
    <row r="64" spans="1:14" ht="46.05" customHeight="1" x14ac:dyDescent="0.25">
      <c r="A64" s="6">
        <v>53</v>
      </c>
      <c r="B64" s="6" t="s">
        <v>226</v>
      </c>
      <c r="C64" s="7" t="s">
        <v>122</v>
      </c>
      <c r="D64" s="7" t="s">
        <v>29</v>
      </c>
      <c r="E64" s="7" t="s">
        <v>227</v>
      </c>
      <c r="F64" s="7" t="s">
        <v>228</v>
      </c>
      <c r="G64" s="9" t="s">
        <v>36</v>
      </c>
      <c r="H64" s="9" t="s">
        <v>54</v>
      </c>
      <c r="I64" s="7" t="s">
        <v>229</v>
      </c>
      <c r="J64" s="10">
        <v>0</v>
      </c>
      <c r="K64" s="10">
        <v>0</v>
      </c>
      <c r="L64" s="10">
        <v>0</v>
      </c>
      <c r="M64" s="10">
        <v>3.57</v>
      </c>
      <c r="N64" s="10">
        <v>0</v>
      </c>
    </row>
    <row r="65" spans="1:14" ht="31.95" customHeight="1" x14ac:dyDescent="0.25">
      <c r="A65" s="11">
        <v>54</v>
      </c>
      <c r="B65" s="11" t="s">
        <v>230</v>
      </c>
      <c r="C65" s="12" t="s">
        <v>122</v>
      </c>
      <c r="D65" s="12" t="s">
        <v>29</v>
      </c>
      <c r="E65" s="12" t="s">
        <v>231</v>
      </c>
      <c r="F65" s="12" t="s">
        <v>232</v>
      </c>
      <c r="G65" s="9" t="s">
        <v>36</v>
      </c>
      <c r="H65" s="9" t="s">
        <v>54</v>
      </c>
      <c r="I65" s="12" t="s">
        <v>233</v>
      </c>
      <c r="J65" s="10">
        <v>0</v>
      </c>
      <c r="K65" s="10">
        <v>0</v>
      </c>
      <c r="L65" s="10">
        <v>0</v>
      </c>
      <c r="M65" s="10">
        <v>3.57</v>
      </c>
      <c r="N65" s="10">
        <v>0</v>
      </c>
    </row>
    <row r="66" spans="1:14" ht="46.05" customHeight="1" x14ac:dyDescent="0.25">
      <c r="A66" s="6">
        <v>55</v>
      </c>
      <c r="B66" s="6" t="s">
        <v>234</v>
      </c>
      <c r="C66" s="7" t="s">
        <v>122</v>
      </c>
      <c r="D66" s="7" t="s">
        <v>29</v>
      </c>
      <c r="E66" s="7" t="s">
        <v>235</v>
      </c>
      <c r="F66" s="7" t="s">
        <v>236</v>
      </c>
      <c r="G66" s="9" t="s">
        <v>36</v>
      </c>
      <c r="H66" s="9" t="s">
        <v>54</v>
      </c>
      <c r="I66" s="7" t="s">
        <v>237</v>
      </c>
      <c r="J66" s="10">
        <v>0</v>
      </c>
      <c r="K66" s="10">
        <v>0</v>
      </c>
      <c r="L66" s="10">
        <v>0</v>
      </c>
      <c r="M66" s="10">
        <v>3.57</v>
      </c>
      <c r="N66" s="10">
        <v>0</v>
      </c>
    </row>
    <row r="67" spans="1:14" ht="46.05" customHeight="1" x14ac:dyDescent="0.25">
      <c r="A67" s="11">
        <v>56</v>
      </c>
      <c r="B67" s="11" t="s">
        <v>238</v>
      </c>
      <c r="C67" s="12" t="s">
        <v>122</v>
      </c>
      <c r="D67" s="12" t="s">
        <v>29</v>
      </c>
      <c r="E67" s="12" t="s">
        <v>239</v>
      </c>
      <c r="F67" s="12" t="s">
        <v>236</v>
      </c>
      <c r="G67" s="9" t="s">
        <v>36</v>
      </c>
      <c r="H67" s="9" t="s">
        <v>54</v>
      </c>
      <c r="I67" s="12" t="s">
        <v>240</v>
      </c>
      <c r="J67" s="10">
        <v>0</v>
      </c>
      <c r="K67" s="10">
        <v>0</v>
      </c>
      <c r="L67" s="10">
        <v>0</v>
      </c>
      <c r="M67" s="10">
        <v>3.58</v>
      </c>
      <c r="N67" s="10">
        <v>0</v>
      </c>
    </row>
    <row r="68" spans="1:14" ht="46.05" customHeight="1" x14ac:dyDescent="0.25">
      <c r="A68" s="6">
        <v>57</v>
      </c>
      <c r="B68" s="6" t="s">
        <v>241</v>
      </c>
      <c r="C68" s="7" t="s">
        <v>122</v>
      </c>
      <c r="D68" s="7" t="s">
        <v>30</v>
      </c>
      <c r="E68" s="7" t="s">
        <v>242</v>
      </c>
      <c r="F68" s="7" t="s">
        <v>243</v>
      </c>
      <c r="G68" s="9" t="s">
        <v>36</v>
      </c>
      <c r="H68" s="9" t="s">
        <v>54</v>
      </c>
      <c r="I68" s="7" t="s">
        <v>244</v>
      </c>
      <c r="J68" s="10">
        <v>0</v>
      </c>
      <c r="K68" s="10">
        <v>0</v>
      </c>
      <c r="L68" s="10">
        <v>0</v>
      </c>
      <c r="M68" s="10">
        <v>0</v>
      </c>
      <c r="N68" s="10">
        <v>2.86</v>
      </c>
    </row>
    <row r="69" spans="1:14" ht="46.05" customHeight="1" x14ac:dyDescent="0.25">
      <c r="A69" s="11">
        <v>58</v>
      </c>
      <c r="B69" s="11" t="s">
        <v>245</v>
      </c>
      <c r="C69" s="12" t="s">
        <v>122</v>
      </c>
      <c r="D69" s="12" t="s">
        <v>30</v>
      </c>
      <c r="E69" s="12" t="s">
        <v>246</v>
      </c>
      <c r="F69" s="12" t="s">
        <v>247</v>
      </c>
      <c r="G69" s="9" t="s">
        <v>36</v>
      </c>
      <c r="H69" s="9" t="s">
        <v>54</v>
      </c>
      <c r="I69" s="12" t="s">
        <v>248</v>
      </c>
      <c r="J69" s="10">
        <v>0</v>
      </c>
      <c r="K69" s="10">
        <v>0</v>
      </c>
      <c r="L69" s="10">
        <v>0</v>
      </c>
      <c r="M69" s="10">
        <v>0</v>
      </c>
      <c r="N69" s="10">
        <v>2.86</v>
      </c>
    </row>
    <row r="70" spans="1:14" ht="46.05" customHeight="1" x14ac:dyDescent="0.25">
      <c r="A70" s="6">
        <v>59</v>
      </c>
      <c r="B70" s="6" t="s">
        <v>249</v>
      </c>
      <c r="C70" s="7" t="s">
        <v>122</v>
      </c>
      <c r="D70" s="7" t="s">
        <v>30</v>
      </c>
      <c r="E70" s="7" t="s">
        <v>250</v>
      </c>
      <c r="F70" s="7" t="s">
        <v>251</v>
      </c>
      <c r="G70" s="9" t="s">
        <v>36</v>
      </c>
      <c r="H70" s="9" t="s">
        <v>54</v>
      </c>
      <c r="I70" s="7" t="s">
        <v>252</v>
      </c>
      <c r="J70" s="10">
        <v>0</v>
      </c>
      <c r="K70" s="10">
        <v>0</v>
      </c>
      <c r="L70" s="10">
        <v>0</v>
      </c>
      <c r="M70" s="10">
        <v>0</v>
      </c>
      <c r="N70" s="10">
        <v>2.86</v>
      </c>
    </row>
    <row r="71" spans="1:14" ht="46.05" customHeight="1" x14ac:dyDescent="0.25">
      <c r="A71" s="11">
        <v>60</v>
      </c>
      <c r="B71" s="11" t="s">
        <v>253</v>
      </c>
      <c r="C71" s="12" t="s">
        <v>122</v>
      </c>
      <c r="D71" s="12" t="s">
        <v>30</v>
      </c>
      <c r="E71" s="12" t="s">
        <v>254</v>
      </c>
      <c r="F71" s="12" t="s">
        <v>255</v>
      </c>
      <c r="G71" s="9" t="s">
        <v>36</v>
      </c>
      <c r="H71" s="9" t="s">
        <v>54</v>
      </c>
      <c r="I71" s="12" t="s">
        <v>252</v>
      </c>
      <c r="J71" s="10">
        <v>0</v>
      </c>
      <c r="K71" s="10">
        <v>0</v>
      </c>
      <c r="L71" s="10">
        <v>0</v>
      </c>
      <c r="M71" s="10">
        <v>0</v>
      </c>
      <c r="N71" s="10">
        <v>2.86</v>
      </c>
    </row>
    <row r="72" spans="1:14" ht="46.05" customHeight="1" x14ac:dyDescent="0.25">
      <c r="A72" s="6">
        <v>61</v>
      </c>
      <c r="B72" s="6" t="s">
        <v>256</v>
      </c>
      <c r="C72" s="7" t="s">
        <v>122</v>
      </c>
      <c r="D72" s="7" t="s">
        <v>30</v>
      </c>
      <c r="E72" s="7" t="s">
        <v>257</v>
      </c>
      <c r="F72" s="7" t="s">
        <v>258</v>
      </c>
      <c r="G72" s="9" t="s">
        <v>36</v>
      </c>
      <c r="H72" s="9" t="s">
        <v>54</v>
      </c>
      <c r="I72" s="7" t="s">
        <v>259</v>
      </c>
      <c r="J72" s="10">
        <v>0</v>
      </c>
      <c r="K72" s="10">
        <v>0</v>
      </c>
      <c r="L72" s="10">
        <v>0</v>
      </c>
      <c r="M72" s="10">
        <v>0</v>
      </c>
      <c r="N72" s="10">
        <v>2.86</v>
      </c>
    </row>
    <row r="73" spans="1:14" ht="46.05" customHeight="1" x14ac:dyDescent="0.25">
      <c r="A73" s="11">
        <v>62</v>
      </c>
      <c r="B73" s="11" t="s">
        <v>260</v>
      </c>
      <c r="C73" s="12" t="s">
        <v>122</v>
      </c>
      <c r="D73" s="12" t="s">
        <v>30</v>
      </c>
      <c r="E73" s="12" t="s">
        <v>261</v>
      </c>
      <c r="F73" s="12" t="s">
        <v>262</v>
      </c>
      <c r="G73" s="9" t="s">
        <v>36</v>
      </c>
      <c r="H73" s="9" t="s">
        <v>54</v>
      </c>
      <c r="I73" s="12" t="s">
        <v>263</v>
      </c>
      <c r="J73" s="10">
        <v>0</v>
      </c>
      <c r="K73" s="10">
        <v>0</v>
      </c>
      <c r="L73" s="10">
        <v>0</v>
      </c>
      <c r="M73" s="10">
        <v>0</v>
      </c>
      <c r="N73" s="10">
        <v>2.86</v>
      </c>
    </row>
    <row r="74" spans="1:14" ht="46.05" customHeight="1" x14ac:dyDescent="0.25">
      <c r="A74" s="6">
        <v>63</v>
      </c>
      <c r="B74" s="6" t="s">
        <v>264</v>
      </c>
      <c r="C74" s="7" t="s">
        <v>122</v>
      </c>
      <c r="D74" s="7" t="s">
        <v>30</v>
      </c>
      <c r="E74" s="7" t="s">
        <v>265</v>
      </c>
      <c r="F74" s="7" t="s">
        <v>266</v>
      </c>
      <c r="G74" s="9" t="s">
        <v>36</v>
      </c>
      <c r="H74" s="9" t="s">
        <v>54</v>
      </c>
      <c r="I74" s="7" t="s">
        <v>267</v>
      </c>
      <c r="J74" s="10">
        <v>0</v>
      </c>
      <c r="K74" s="10">
        <v>0</v>
      </c>
      <c r="L74" s="10">
        <v>0</v>
      </c>
      <c r="M74" s="10">
        <v>0</v>
      </c>
      <c r="N74" s="10">
        <v>2.84</v>
      </c>
    </row>
    <row r="75" spans="1:14" ht="18" x14ac:dyDescent="0.25">
      <c r="E75" s="13" t="s">
        <v>268</v>
      </c>
      <c r="J75" s="14">
        <f>SUM(J12:J74)</f>
        <v>100</v>
      </c>
      <c r="K75" s="14">
        <f>SUM(K12:K74)</f>
        <v>100</v>
      </c>
      <c r="L75" s="14">
        <f>SUM(L12:L74)</f>
        <v>99.999999999999986</v>
      </c>
      <c r="M75" s="14">
        <f>SUM(M12:M74)</f>
        <v>99.999999999999957</v>
      </c>
      <c r="N75" s="14">
        <f>SUM(N12:N74)</f>
        <v>100</v>
      </c>
    </row>
    <row r="76" spans="1:14" ht="18" x14ac:dyDescent="0.25">
      <c r="E76" s="13" t="s">
        <v>269</v>
      </c>
      <c r="J76" s="6" t="str">
        <f>IF(ROUND(J75,2)=100,"سليم","راجع الأوزان")</f>
        <v>سليم</v>
      </c>
      <c r="K76" s="6" t="str">
        <f>IF(ROUND(K75,2)=100,"سليم","راجع الأوزان")</f>
        <v>سليم</v>
      </c>
      <c r="L76" s="6" t="str">
        <f>IF(ROUND(L75,2)=100,"سليم","راجع الأوزان")</f>
        <v>سليم</v>
      </c>
      <c r="M76" s="6" t="str">
        <f>IF(ROUND(M75,2)=100,"سليم","راجع الأوزان")</f>
        <v>سليم</v>
      </c>
      <c r="N76" s="6" t="str">
        <f>IF(ROUND(N75,2)=100,"سليم","راجع الأوزان")</f>
        <v>سليم</v>
      </c>
    </row>
    <row r="78" spans="1:14" ht="36" x14ac:dyDescent="0.25">
      <c r="E78" s="4" t="s">
        <v>270</v>
      </c>
      <c r="J78" s="4" t="s">
        <v>26</v>
      </c>
      <c r="K78" s="4" t="s">
        <v>27</v>
      </c>
      <c r="L78" s="4" t="s">
        <v>28</v>
      </c>
      <c r="M78" s="4" t="s">
        <v>29</v>
      </c>
      <c r="N78" s="4" t="s">
        <v>30</v>
      </c>
    </row>
    <row r="79" spans="1:14" ht="18" x14ac:dyDescent="0.25">
      <c r="E79" s="15" t="s">
        <v>32</v>
      </c>
      <c r="J79" s="14">
        <f t="shared" ref="J79:N86" si="0">SUMIF($C$12:$C$74,$E79,J$12:J$74)</f>
        <v>5</v>
      </c>
      <c r="K79" s="14">
        <f t="shared" si="0"/>
        <v>5</v>
      </c>
      <c r="L79" s="14">
        <f t="shared" si="0"/>
        <v>5</v>
      </c>
      <c r="M79" s="14">
        <f t="shared" si="0"/>
        <v>5</v>
      </c>
      <c r="N79" s="14">
        <f t="shared" si="0"/>
        <v>5</v>
      </c>
    </row>
    <row r="80" spans="1:14" ht="18" x14ac:dyDescent="0.25">
      <c r="E80" s="15" t="s">
        <v>56</v>
      </c>
      <c r="J80" s="14">
        <f t="shared" si="0"/>
        <v>15</v>
      </c>
      <c r="K80" s="14">
        <f t="shared" si="0"/>
        <v>12</v>
      </c>
      <c r="L80" s="14">
        <f t="shared" si="0"/>
        <v>12</v>
      </c>
      <c r="M80" s="14">
        <f t="shared" si="0"/>
        <v>10</v>
      </c>
      <c r="N80" s="14">
        <f t="shared" si="0"/>
        <v>15</v>
      </c>
    </row>
    <row r="81" spans="5:14" ht="18" x14ac:dyDescent="0.25">
      <c r="E81" s="15" t="s">
        <v>69</v>
      </c>
      <c r="J81" s="14">
        <f t="shared" si="0"/>
        <v>18</v>
      </c>
      <c r="K81" s="14">
        <f t="shared" si="0"/>
        <v>20</v>
      </c>
      <c r="L81" s="14">
        <f t="shared" si="0"/>
        <v>18</v>
      </c>
      <c r="M81" s="14">
        <f t="shared" si="0"/>
        <v>20</v>
      </c>
      <c r="N81" s="14">
        <f t="shared" si="0"/>
        <v>20</v>
      </c>
    </row>
    <row r="82" spans="5:14" ht="18" x14ac:dyDescent="0.25">
      <c r="E82" s="15" t="s">
        <v>82</v>
      </c>
      <c r="J82" s="14">
        <f t="shared" si="0"/>
        <v>12</v>
      </c>
      <c r="K82" s="14">
        <f t="shared" si="0"/>
        <v>12</v>
      </c>
      <c r="L82" s="14">
        <f t="shared" si="0"/>
        <v>15</v>
      </c>
      <c r="M82" s="14">
        <f t="shared" si="0"/>
        <v>10</v>
      </c>
      <c r="N82" s="14">
        <f t="shared" si="0"/>
        <v>12</v>
      </c>
    </row>
    <row r="83" spans="5:14" ht="18" x14ac:dyDescent="0.25">
      <c r="E83" s="15" t="s">
        <v>95</v>
      </c>
      <c r="J83" s="14">
        <f t="shared" si="0"/>
        <v>10</v>
      </c>
      <c r="K83" s="14">
        <f t="shared" si="0"/>
        <v>6</v>
      </c>
      <c r="L83" s="14">
        <f t="shared" si="0"/>
        <v>8</v>
      </c>
      <c r="M83" s="14">
        <f t="shared" si="0"/>
        <v>5</v>
      </c>
      <c r="N83" s="14">
        <f t="shared" si="0"/>
        <v>8</v>
      </c>
    </row>
    <row r="84" spans="5:14" ht="18" x14ac:dyDescent="0.25">
      <c r="E84" s="15" t="s">
        <v>102</v>
      </c>
      <c r="J84" s="14">
        <f t="shared" si="0"/>
        <v>10</v>
      </c>
      <c r="K84" s="14">
        <f t="shared" si="0"/>
        <v>15</v>
      </c>
      <c r="L84" s="14">
        <f t="shared" si="0"/>
        <v>12</v>
      </c>
      <c r="M84" s="14">
        <f t="shared" si="0"/>
        <v>15</v>
      </c>
      <c r="N84" s="14">
        <f t="shared" si="0"/>
        <v>10</v>
      </c>
    </row>
    <row r="85" spans="5:14" ht="18" x14ac:dyDescent="0.25">
      <c r="E85" s="15" t="s">
        <v>112</v>
      </c>
      <c r="J85" s="14">
        <f t="shared" si="0"/>
        <v>10</v>
      </c>
      <c r="K85" s="14">
        <f t="shared" si="0"/>
        <v>8</v>
      </c>
      <c r="L85" s="14">
        <f t="shared" si="0"/>
        <v>8</v>
      </c>
      <c r="M85" s="14">
        <f t="shared" si="0"/>
        <v>10</v>
      </c>
      <c r="N85" s="14">
        <f t="shared" si="0"/>
        <v>10</v>
      </c>
    </row>
    <row r="86" spans="5:14" ht="18" x14ac:dyDescent="0.25">
      <c r="E86" s="15" t="s">
        <v>122</v>
      </c>
      <c r="J86" s="14">
        <f t="shared" si="0"/>
        <v>20</v>
      </c>
      <c r="K86" s="14">
        <f t="shared" si="0"/>
        <v>22</v>
      </c>
      <c r="L86" s="14">
        <f t="shared" si="0"/>
        <v>22</v>
      </c>
      <c r="M86" s="14">
        <f t="shared" si="0"/>
        <v>25</v>
      </c>
      <c r="N86" s="14">
        <f t="shared" si="0"/>
        <v>20</v>
      </c>
    </row>
  </sheetData>
  <autoFilter ref="A11:N74" xr:uid="{00000000-0009-0000-0000-000000000000}"/>
  <mergeCells count="7">
    <mergeCell ref="C10:E10"/>
    <mergeCell ref="C5:E5"/>
    <mergeCell ref="C8:E8"/>
    <mergeCell ref="C9:E9"/>
    <mergeCell ref="C4:E4"/>
    <mergeCell ref="C7:E7"/>
    <mergeCell ref="C6:E6"/>
  </mergeCells>
  <conditionalFormatting sqref="J76:N76">
    <cfRule type="cellIs" dxfId="14" priority="1" operator="equal">
      <formula>"راجع الأوزان"</formula>
    </cfRule>
  </conditionalFormatting>
  <dataValidations count="3">
    <dataValidation type="list" sqref="G12:G74" xr:uid="{00000000-0002-0000-0000-000000000000}">
      <formula1>"الكل,السعودية,مصر"</formula1>
    </dataValidation>
    <dataValidation type="list" sqref="H12:H74" xr:uid="{00000000-0002-0000-0000-000001000000}">
      <formula1>"نعم,لا"</formula1>
    </dataValidation>
    <dataValidation type="decimal" sqref="J12:N74" xr:uid="{00000000-0002-0000-0000-000002000000}">
      <formula1>0</formula1>
      <formula2>100</formula2>
    </dataValidation>
  </dataValidations>
  <printOptions horizontalCentered="1"/>
  <pageMargins left="0.75" right="0.75" top="1" bottom="1" header="0.5" footer="0.5"/>
  <pageSetup paperSize="9" fitToHeight="0" orientation="landscape"/>
  <headerFooter>
    <oddFooter>&amp;Lالمبدعون العرب للاستشارات الهندسية ACE&amp;Cصفحة &amp;P من &amp;N&amp;R&amp;A</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52976"/>
    <pageSetUpPr fitToPage="1"/>
  </sheetPr>
  <dimension ref="A1:K99"/>
  <sheetViews>
    <sheetView rightToLeft="1" zoomScale="85" workbookViewId="0">
      <pane xSplit="6" ySplit="13" topLeftCell="G14" activePane="bottomRight" state="frozen"/>
      <selection pane="topRight"/>
      <selection pane="bottomLeft"/>
      <selection pane="bottomRight"/>
    </sheetView>
  </sheetViews>
  <sheetFormatPr defaultRowHeight="13.8" x14ac:dyDescent="0.25"/>
  <cols>
    <col min="1" max="1" width="5" customWidth="1"/>
    <col min="2" max="2" width="9" customWidth="1"/>
    <col min="3" max="3" width="16" customWidth="1"/>
    <col min="4" max="4" width="58" customWidth="1"/>
    <col min="5" max="5" width="8" customWidth="1"/>
    <col min="6" max="6" width="10" customWidth="1"/>
    <col min="7" max="11" width="15" customWidth="1"/>
  </cols>
  <sheetData>
    <row r="1" spans="1:11" ht="25.8" x14ac:dyDescent="0.75">
      <c r="A1" s="1" t="s">
        <v>271</v>
      </c>
    </row>
    <row r="2" spans="1:11" ht="16.8" x14ac:dyDescent="0.5">
      <c r="A2" s="2" t="s">
        <v>272</v>
      </c>
    </row>
    <row r="4" spans="1:11" ht="16.8" x14ac:dyDescent="0.5">
      <c r="A4" s="40" t="s">
        <v>273</v>
      </c>
      <c r="B4" s="36"/>
      <c r="C4" s="37"/>
      <c r="D4" s="39" t="s">
        <v>274</v>
      </c>
      <c r="E4" s="37"/>
      <c r="G4" s="2" t="s">
        <v>275</v>
      </c>
    </row>
    <row r="5" spans="1:11" ht="16.8" x14ac:dyDescent="0.5">
      <c r="A5" s="40" t="s">
        <v>276</v>
      </c>
      <c r="B5" s="36"/>
      <c r="C5" s="37"/>
      <c r="D5" s="39" t="s">
        <v>26</v>
      </c>
      <c r="E5" s="37"/>
      <c r="G5" s="16" t="str">
        <f>IF(D7&lt;=D8,"تنبيه: حد التأهيل بشروط يجب أن يكون أقل من درجة النجاح","")</f>
        <v/>
      </c>
    </row>
    <row r="6" spans="1:11" x14ac:dyDescent="0.25">
      <c r="A6" s="40" t="s">
        <v>277</v>
      </c>
      <c r="B6" s="36"/>
      <c r="C6" s="37"/>
      <c r="D6" s="39" t="s">
        <v>50</v>
      </c>
      <c r="E6" s="37"/>
    </row>
    <row r="7" spans="1:11" x14ac:dyDescent="0.25">
      <c r="A7" s="40" t="s">
        <v>278</v>
      </c>
      <c r="B7" s="36"/>
      <c r="C7" s="37"/>
      <c r="D7" s="41">
        <v>0.7</v>
      </c>
      <c r="E7" s="37"/>
    </row>
    <row r="8" spans="1:11" x14ac:dyDescent="0.25">
      <c r="A8" s="40" t="s">
        <v>279</v>
      </c>
      <c r="B8" s="36"/>
      <c r="C8" s="37"/>
      <c r="D8" s="41">
        <v>0.6</v>
      </c>
      <c r="E8" s="37"/>
    </row>
    <row r="9" spans="1:11" x14ac:dyDescent="0.25">
      <c r="A9" s="40" t="s">
        <v>280</v>
      </c>
      <c r="B9" s="36"/>
      <c r="C9" s="37"/>
      <c r="D9" s="39" t="s">
        <v>281</v>
      </c>
      <c r="E9" s="37"/>
    </row>
    <row r="10" spans="1:11" x14ac:dyDescent="0.25">
      <c r="A10" s="40" t="s">
        <v>282</v>
      </c>
      <c r="B10" s="36"/>
      <c r="C10" s="37"/>
      <c r="D10" s="39" t="s">
        <v>283</v>
      </c>
      <c r="E10" s="37"/>
    </row>
    <row r="12" spans="1:11" ht="30" customHeight="1" x14ac:dyDescent="0.25">
      <c r="E12" s="13" t="s">
        <v>284</v>
      </c>
      <c r="G12" s="9"/>
      <c r="H12" s="9"/>
      <c r="I12" s="9"/>
      <c r="J12" s="9"/>
      <c r="K12" s="9"/>
    </row>
    <row r="13" spans="1:11" ht="36" x14ac:dyDescent="0.25">
      <c r="A13" s="4" t="s">
        <v>17</v>
      </c>
      <c r="B13" s="4" t="s">
        <v>18</v>
      </c>
      <c r="C13" s="4" t="s">
        <v>19</v>
      </c>
      <c r="D13" s="4" t="s">
        <v>21</v>
      </c>
      <c r="E13" s="4" t="s">
        <v>24</v>
      </c>
      <c r="F13" s="4" t="s">
        <v>285</v>
      </c>
      <c r="G13" s="4" t="s">
        <v>286</v>
      </c>
      <c r="H13" s="4" t="s">
        <v>287</v>
      </c>
      <c r="I13" s="4" t="s">
        <v>288</v>
      </c>
      <c r="J13" s="4" t="s">
        <v>289</v>
      </c>
      <c r="K13" s="4" t="s">
        <v>290</v>
      </c>
    </row>
    <row r="14" spans="1:11" ht="30" customHeight="1" x14ac:dyDescent="0.25">
      <c r="A14" s="17">
        <f>Criteria!A12</f>
        <v>1</v>
      </c>
      <c r="B14" s="17" t="str">
        <f>Criteria!B12</f>
        <v>LEG-01</v>
      </c>
      <c r="C14" s="18" t="str">
        <f>Criteria!C12</f>
        <v>الوثائق النظامية</v>
      </c>
      <c r="D14" s="18" t="str">
        <f>Criteria!E12</f>
        <v>سجل تجاري ساري المفعول ونشاطه يغطي نطاق الأعمال المطروحة</v>
      </c>
      <c r="E14" s="17" t="str">
        <f>Criteria!H12</f>
        <v>نعم</v>
      </c>
      <c r="F14" s="19">
        <f>IFERROR(INDEX(Criteria!$J12:$N12,MATCH($D$5,Criteria!$J$11:$N$11,0)),0)*IF(OR(Criteria!G12="الكل",Criteria!G12=$D$6),1,0)</f>
        <v>1</v>
      </c>
      <c r="G14" s="9"/>
      <c r="H14" s="9"/>
      <c r="I14" s="9"/>
      <c r="J14" s="9"/>
      <c r="K14" s="9"/>
    </row>
    <row r="15" spans="1:11" ht="30" customHeight="1" x14ac:dyDescent="0.25">
      <c r="A15" s="17">
        <f>Criteria!A13</f>
        <v>2</v>
      </c>
      <c r="B15" s="17" t="str">
        <f>Criteria!B13</f>
        <v>LEG-02</v>
      </c>
      <c r="C15" s="18" t="str">
        <f>Criteria!C13</f>
        <v>الوثائق النظامية</v>
      </c>
      <c r="D15" s="18" t="str">
        <f>Criteria!E13</f>
        <v>التسجيل الضريبي ساري</v>
      </c>
      <c r="E15" s="17" t="str">
        <f>Criteria!H13</f>
        <v>نعم</v>
      </c>
      <c r="F15" s="19">
        <f>IFERROR(INDEX(Criteria!$J13:$N13,MATCH($D$5,Criteria!$J$11:$N$11,0)),0)*IF(OR(Criteria!G13="الكل",Criteria!G13=$D$6),1,0)</f>
        <v>1</v>
      </c>
      <c r="G15" s="9"/>
      <c r="H15" s="9"/>
      <c r="I15" s="9"/>
      <c r="J15" s="9"/>
      <c r="K15" s="9"/>
    </row>
    <row r="16" spans="1:11" ht="30" customHeight="1" x14ac:dyDescent="0.25">
      <c r="A16" s="17">
        <f>Criteria!A14</f>
        <v>3</v>
      </c>
      <c r="B16" s="17" t="str">
        <f>Criteria!B14</f>
        <v>LEG-03</v>
      </c>
      <c r="C16" s="18" t="str">
        <f>Criteria!C14</f>
        <v>الوثائق النظامية</v>
      </c>
      <c r="D16" s="18" t="str">
        <f>Criteria!E14</f>
        <v>تصنيف المقاولين في المجال والدرجة المناسبين لقيمة الأعمال</v>
      </c>
      <c r="E16" s="17" t="str">
        <f>Criteria!H14</f>
        <v>نعم</v>
      </c>
      <c r="F16" s="19">
        <f>IFERROR(INDEX(Criteria!$J14:$N14,MATCH($D$5,Criteria!$J$11:$N$11,0)),0)*IF(OR(Criteria!G14="الكل",Criteria!G14=$D$6),1,0)</f>
        <v>1</v>
      </c>
      <c r="G16" s="9"/>
      <c r="H16" s="9"/>
      <c r="I16" s="9"/>
      <c r="J16" s="9"/>
      <c r="K16" s="9"/>
    </row>
    <row r="17" spans="1:11" ht="30" customHeight="1" x14ac:dyDescent="0.25">
      <c r="A17" s="17">
        <f>Criteria!A15</f>
        <v>4</v>
      </c>
      <c r="B17" s="17" t="str">
        <f>Criteria!B15</f>
        <v>LEG-04</v>
      </c>
      <c r="C17" s="18" t="str">
        <f>Criteria!C15</f>
        <v>الوثائق النظامية</v>
      </c>
      <c r="D17" s="18" t="str">
        <f>Criteria!E15</f>
        <v>شهادة التأمينات الاجتماعية سارية</v>
      </c>
      <c r="E17" s="17" t="str">
        <f>Criteria!H15</f>
        <v>نعم</v>
      </c>
      <c r="F17" s="19">
        <f>IFERROR(INDEX(Criteria!$J15:$N15,MATCH($D$5,Criteria!$J$11:$N$11,0)),0)*IF(OR(Criteria!G15="الكل",Criteria!G15=$D$6),1,0)</f>
        <v>1</v>
      </c>
      <c r="G17" s="9"/>
      <c r="H17" s="9"/>
      <c r="I17" s="9"/>
      <c r="J17" s="9"/>
      <c r="K17" s="9"/>
    </row>
    <row r="18" spans="1:11" ht="30" customHeight="1" x14ac:dyDescent="0.25">
      <c r="A18" s="17">
        <f>Criteria!A16</f>
        <v>5</v>
      </c>
      <c r="B18" s="17" t="str">
        <f>Criteria!B16</f>
        <v>LEG-05</v>
      </c>
      <c r="C18" s="18" t="str">
        <f>Criteria!C16</f>
        <v>الوثائق النظامية</v>
      </c>
      <c r="D18" s="18" t="str">
        <f>Criteria!E16</f>
        <v>شهادة الزكاة والدخل سارية</v>
      </c>
      <c r="E18" s="17" t="str">
        <f>Criteria!H16</f>
        <v>نعم</v>
      </c>
      <c r="F18" s="19">
        <f>IFERROR(INDEX(Criteria!$J16:$N16,MATCH($D$5,Criteria!$J$11:$N$11,0)),0)*IF(OR(Criteria!G16="الكل",Criteria!G16=$D$6),1,0)</f>
        <v>0.5</v>
      </c>
      <c r="G18" s="9"/>
      <c r="H18" s="9"/>
      <c r="I18" s="9"/>
      <c r="J18" s="9"/>
      <c r="K18" s="9"/>
    </row>
    <row r="19" spans="1:11" ht="30" customHeight="1" x14ac:dyDescent="0.25">
      <c r="A19" s="17">
        <f>Criteria!A17</f>
        <v>6</v>
      </c>
      <c r="B19" s="17" t="str">
        <f>Criteria!B17</f>
        <v>LEG-06</v>
      </c>
      <c r="C19" s="18" t="str">
        <f>Criteria!C17</f>
        <v>الوثائق النظامية</v>
      </c>
      <c r="D19" s="18" t="str">
        <f>Criteria!E17</f>
        <v>عضوية الغرفة التجارية وشهادة الالتزام بنسب التوطين</v>
      </c>
      <c r="E19" s="17" t="str">
        <f>Criteria!H17</f>
        <v>لا</v>
      </c>
      <c r="F19" s="19">
        <f>IFERROR(INDEX(Criteria!$J17:$N17,MATCH($D$5,Criteria!$J$11:$N$11,0)),0)*IF(OR(Criteria!G17="الكل",Criteria!G17=$D$6),1,0)</f>
        <v>0.5</v>
      </c>
      <c r="G19" s="9"/>
      <c r="H19" s="9"/>
      <c r="I19" s="9"/>
      <c r="J19" s="9"/>
      <c r="K19" s="9"/>
    </row>
    <row r="20" spans="1:11" ht="30" customHeight="1" x14ac:dyDescent="0.25">
      <c r="A20" s="17">
        <f>Criteria!A18</f>
        <v>7</v>
      </c>
      <c r="B20" s="17" t="str">
        <f>Criteria!B18</f>
        <v>FIN-01</v>
      </c>
      <c r="C20" s="18" t="str">
        <f>Criteria!C18</f>
        <v>الملاءة المالية</v>
      </c>
      <c r="D20" s="18" t="str">
        <f>Criteria!E18</f>
        <v>قوائم مالية مدققة لآخر ثلاث سنوات دون تحفظات جوهرية</v>
      </c>
      <c r="E20" s="17" t="str">
        <f>Criteria!H18</f>
        <v>لا</v>
      </c>
      <c r="F20" s="19">
        <f>IFERROR(INDEX(Criteria!$J18:$N18,MATCH($D$5,Criteria!$J$11:$N$11,0)),0)*IF(OR(Criteria!G18="الكل",Criteria!G18=$D$6),1,0)</f>
        <v>4</v>
      </c>
      <c r="G20" s="9"/>
      <c r="H20" s="9"/>
      <c r="I20" s="9"/>
      <c r="J20" s="9"/>
      <c r="K20" s="9"/>
    </row>
    <row r="21" spans="1:11" ht="30" customHeight="1" x14ac:dyDescent="0.25">
      <c r="A21" s="17">
        <f>Criteria!A19</f>
        <v>8</v>
      </c>
      <c r="B21" s="17" t="str">
        <f>Criteria!B19</f>
        <v>FIN-02</v>
      </c>
      <c r="C21" s="18" t="str">
        <f>Criteria!C19</f>
        <v>الملاءة المالية</v>
      </c>
      <c r="D21" s="18" t="str">
        <f>Criteria!E19</f>
        <v>متوسط حجم الأعمال السنوي لا يقل عن ضعف قيمة أعمال الحزمة</v>
      </c>
      <c r="E21" s="17" t="str">
        <f>Criteria!H19</f>
        <v>لا</v>
      </c>
      <c r="F21" s="19">
        <f>IFERROR(INDEX(Criteria!$J19:$N19,MATCH($D$5,Criteria!$J$11:$N$11,0)),0)*IF(OR(Criteria!G19="الكل",Criteria!G19=$D$6),1,0)</f>
        <v>4</v>
      </c>
      <c r="G21" s="9"/>
      <c r="H21" s="9"/>
      <c r="I21" s="9"/>
      <c r="J21" s="9"/>
      <c r="K21" s="9"/>
    </row>
    <row r="22" spans="1:11" ht="30" customHeight="1" x14ac:dyDescent="0.25">
      <c r="A22" s="17">
        <f>Criteria!A20</f>
        <v>9</v>
      </c>
      <c r="B22" s="17" t="str">
        <f>Criteria!B20</f>
        <v>FIN-03</v>
      </c>
      <c r="C22" s="18" t="str">
        <f>Criteria!C20</f>
        <v>الملاءة المالية</v>
      </c>
      <c r="D22" s="18" t="str">
        <f>Criteria!E20</f>
        <v>نسبة السيولة (الأصول المتداولة إلى الخصوم المتداولة) 1.2 فأكثر</v>
      </c>
      <c r="E22" s="17" t="str">
        <f>Criteria!H20</f>
        <v>لا</v>
      </c>
      <c r="F22" s="19">
        <f>IFERROR(INDEX(Criteria!$J20:$N20,MATCH($D$5,Criteria!$J$11:$N$11,0)),0)*IF(OR(Criteria!G20="الكل",Criteria!G20=$D$6),1,0)</f>
        <v>3</v>
      </c>
      <c r="G22" s="9"/>
      <c r="H22" s="9"/>
      <c r="I22" s="9"/>
      <c r="J22" s="9"/>
      <c r="K22" s="9"/>
    </row>
    <row r="23" spans="1:11" ht="30" customHeight="1" x14ac:dyDescent="0.25">
      <c r="A23" s="17">
        <f>Criteria!A21</f>
        <v>10</v>
      </c>
      <c r="B23" s="17" t="str">
        <f>Criteria!B21</f>
        <v>FIN-04</v>
      </c>
      <c r="C23" s="18" t="str">
        <f>Criteria!C21</f>
        <v>الملاءة المالية</v>
      </c>
      <c r="D23" s="18" t="str">
        <f>Criteria!E21</f>
        <v>قدرة على إصدار الضمانات البنكية (ابتدائي، نهائي، دفعة مقدمة) وتسهيلات ائتمانية كافية</v>
      </c>
      <c r="E23" s="17" t="str">
        <f>Criteria!H21</f>
        <v>لا</v>
      </c>
      <c r="F23" s="19">
        <f>IFERROR(INDEX(Criteria!$J21:$N21,MATCH($D$5,Criteria!$J$11:$N$11,0)),0)*IF(OR(Criteria!G21="الكل",Criteria!G21=$D$6),1,0)</f>
        <v>4</v>
      </c>
      <c r="G23" s="9"/>
      <c r="H23" s="9"/>
      <c r="I23" s="9"/>
      <c r="J23" s="9"/>
      <c r="K23" s="9"/>
    </row>
    <row r="24" spans="1:11" ht="30" customHeight="1" x14ac:dyDescent="0.25">
      <c r="A24" s="17">
        <f>Criteria!A22</f>
        <v>11</v>
      </c>
      <c r="B24" s="17" t="str">
        <f>Criteria!B22</f>
        <v>EXP-01</v>
      </c>
      <c r="C24" s="18" t="str">
        <f>Criteria!C22</f>
        <v>الخبرة السابقة</v>
      </c>
      <c r="D24" s="18" t="str">
        <f>Criteria!E22</f>
        <v>عدد المشروعات المماثلة المنفذة خلال آخر 5 سنوات (3 مشروعات على الأقل)</v>
      </c>
      <c r="E24" s="17" t="str">
        <f>Criteria!H22</f>
        <v>لا</v>
      </c>
      <c r="F24" s="19">
        <f>IFERROR(INDEX(Criteria!$J22:$N22,MATCH($D$5,Criteria!$J$11:$N$11,0)),0)*IF(OR(Criteria!G22="الكل",Criteria!G22=$D$6),1,0)</f>
        <v>5.4</v>
      </c>
      <c r="G24" s="9"/>
      <c r="H24" s="9"/>
      <c r="I24" s="9"/>
      <c r="J24" s="9"/>
      <c r="K24" s="9"/>
    </row>
    <row r="25" spans="1:11" ht="30" customHeight="1" x14ac:dyDescent="0.25">
      <c r="A25" s="17">
        <f>Criteria!A23</f>
        <v>12</v>
      </c>
      <c r="B25" s="17" t="str">
        <f>Criteria!B23</f>
        <v>EXP-02</v>
      </c>
      <c r="C25" s="18" t="str">
        <f>Criteria!C23</f>
        <v>الخبرة السابقة</v>
      </c>
      <c r="D25" s="18" t="str">
        <f>Criteria!E23</f>
        <v>قيمة أكبر مشروع مماثل منفذ لا تقل عن قيمة الحزمة المطروحة</v>
      </c>
      <c r="E25" s="17" t="str">
        <f>Criteria!H23</f>
        <v>لا</v>
      </c>
      <c r="F25" s="19">
        <f>IFERROR(INDEX(Criteria!$J23:$N23,MATCH($D$5,Criteria!$J$11:$N$11,0)),0)*IF(OR(Criteria!G23="الكل",Criteria!G23=$D$6),1,0)</f>
        <v>4.5</v>
      </c>
      <c r="G25" s="9"/>
      <c r="H25" s="9"/>
      <c r="I25" s="9"/>
      <c r="J25" s="9"/>
      <c r="K25" s="9"/>
    </row>
    <row r="26" spans="1:11" ht="30" customHeight="1" x14ac:dyDescent="0.25">
      <c r="A26" s="17">
        <f>Criteria!A24</f>
        <v>13</v>
      </c>
      <c r="B26" s="17" t="str">
        <f>Criteria!B24</f>
        <v>EXP-03</v>
      </c>
      <c r="C26" s="18" t="str">
        <f>Criteria!C24</f>
        <v>الخبرة السابقة</v>
      </c>
      <c r="D26" s="18" t="str">
        <f>Criteria!E24</f>
        <v>شهادات إنجاز وخطابات تقييم إيجابية من الملاك أو الاستشاريين</v>
      </c>
      <c r="E26" s="17" t="str">
        <f>Criteria!H24</f>
        <v>لا</v>
      </c>
      <c r="F26" s="19">
        <f>IFERROR(INDEX(Criteria!$J24:$N24,MATCH($D$5,Criteria!$J$11:$N$11,0)),0)*IF(OR(Criteria!G24="الكل",Criteria!G24=$D$6),1,0)</f>
        <v>4.5</v>
      </c>
      <c r="G26" s="9"/>
      <c r="H26" s="9"/>
      <c r="I26" s="9"/>
      <c r="J26" s="9"/>
      <c r="K26" s="9"/>
    </row>
    <row r="27" spans="1:11" ht="30" customHeight="1" x14ac:dyDescent="0.25">
      <c r="A27" s="17">
        <f>Criteria!A25</f>
        <v>14</v>
      </c>
      <c r="B27" s="17" t="str">
        <f>Criteria!B25</f>
        <v>EXP-04</v>
      </c>
      <c r="C27" s="18" t="str">
        <f>Criteria!C25</f>
        <v>الخبرة السابقة</v>
      </c>
      <c r="D27" s="18" t="str">
        <f>Criteria!E25</f>
        <v>حجم الأعمال الجارية والقدرة الاستيعابية المتبقية لتنفيذ الحزمة</v>
      </c>
      <c r="E27" s="17" t="str">
        <f>Criteria!H25</f>
        <v>لا</v>
      </c>
      <c r="F27" s="19">
        <f>IFERROR(INDEX(Criteria!$J25:$N25,MATCH($D$5,Criteria!$J$11:$N$11,0)),0)*IF(OR(Criteria!G25="الكل",Criteria!G25=$D$6),1,0)</f>
        <v>3.6</v>
      </c>
      <c r="G27" s="9"/>
      <c r="H27" s="9"/>
      <c r="I27" s="9"/>
      <c r="J27" s="9"/>
      <c r="K27" s="9"/>
    </row>
    <row r="28" spans="1:11" ht="30" customHeight="1" x14ac:dyDescent="0.25">
      <c r="A28" s="17">
        <f>Criteria!A26</f>
        <v>15</v>
      </c>
      <c r="B28" s="17" t="str">
        <f>Criteria!B26</f>
        <v>STF-01</v>
      </c>
      <c r="C28" s="18" t="str">
        <f>Criteria!C26</f>
        <v>الجهاز الفني</v>
      </c>
      <c r="D28" s="18" t="str">
        <f>Criteria!E26</f>
        <v>مدير مشروع ومهندس موقع مؤهلان بخبرة مناسبة ومسجلان مهنيا</v>
      </c>
      <c r="E28" s="17" t="str">
        <f>Criteria!H26</f>
        <v>لا</v>
      </c>
      <c r="F28" s="19">
        <f>IFERROR(INDEX(Criteria!$J26:$N26,MATCH($D$5,Criteria!$J$11:$N$11,0)),0)*IF(OR(Criteria!G26="الكل",Criteria!G26=$D$6),1,0)</f>
        <v>4</v>
      </c>
      <c r="G28" s="9"/>
      <c r="H28" s="9"/>
      <c r="I28" s="9"/>
      <c r="J28" s="9"/>
      <c r="K28" s="9"/>
    </row>
    <row r="29" spans="1:11" ht="30" customHeight="1" x14ac:dyDescent="0.25">
      <c r="A29" s="17">
        <f>Criteria!A27</f>
        <v>16</v>
      </c>
      <c r="B29" s="17" t="str">
        <f>Criteria!B27</f>
        <v>STF-02</v>
      </c>
      <c r="C29" s="18" t="str">
        <f>Criteria!C27</f>
        <v>الجهاز الفني</v>
      </c>
      <c r="D29" s="18" t="str">
        <f>Criteria!E27</f>
        <v>مهندس جودة QA/QC متفرغ للمشروع</v>
      </c>
      <c r="E29" s="17" t="str">
        <f>Criteria!H27</f>
        <v>لا</v>
      </c>
      <c r="F29" s="19">
        <f>IFERROR(INDEX(Criteria!$J27:$N27,MATCH($D$5,Criteria!$J$11:$N$11,0)),0)*IF(OR(Criteria!G27="الكل",Criteria!G27=$D$6),1,0)</f>
        <v>3</v>
      </c>
      <c r="G29" s="9"/>
      <c r="H29" s="9"/>
      <c r="I29" s="9"/>
      <c r="J29" s="9"/>
      <c r="K29" s="9"/>
    </row>
    <row r="30" spans="1:11" ht="30" customHeight="1" x14ac:dyDescent="0.25">
      <c r="A30" s="17">
        <f>Criteria!A28</f>
        <v>17</v>
      </c>
      <c r="B30" s="17" t="str">
        <f>Criteria!B28</f>
        <v>STF-03</v>
      </c>
      <c r="C30" s="18" t="str">
        <f>Criteria!C28</f>
        <v>الجهاز الفني</v>
      </c>
      <c r="D30" s="18" t="str">
        <f>Criteria!E28</f>
        <v>مسؤول سلامة متفرغ بشهادة معتمدة (NEBOSH أو OSHA أو ما يعادلها)</v>
      </c>
      <c r="E30" s="17" t="str">
        <f>Criteria!H28</f>
        <v>لا</v>
      </c>
      <c r="F30" s="19">
        <f>IFERROR(INDEX(Criteria!$J28:$N28,MATCH($D$5,Criteria!$J$11:$N$11,0)),0)*IF(OR(Criteria!G28="الكل",Criteria!G28=$D$6),1,0)</f>
        <v>3</v>
      </c>
      <c r="G30" s="9"/>
      <c r="H30" s="9"/>
      <c r="I30" s="9"/>
      <c r="J30" s="9"/>
      <c r="K30" s="9"/>
    </row>
    <row r="31" spans="1:11" ht="30" customHeight="1" x14ac:dyDescent="0.25">
      <c r="A31" s="17">
        <f>Criteria!A29</f>
        <v>18</v>
      </c>
      <c r="B31" s="17" t="str">
        <f>Criteria!B29</f>
        <v>STF-04</v>
      </c>
      <c r="C31" s="18" t="str">
        <f>Criteria!C29</f>
        <v>الجهاز الفني</v>
      </c>
      <c r="D31" s="18" t="str">
        <f>Criteria!E29</f>
        <v>عمالة فنية ماهرة على كفالة الشركة أو مسجلة بها تكفي لذروة الأعمال</v>
      </c>
      <c r="E31" s="17" t="str">
        <f>Criteria!H29</f>
        <v>لا</v>
      </c>
      <c r="F31" s="19">
        <f>IFERROR(INDEX(Criteria!$J29:$N29,MATCH($D$5,Criteria!$J$11:$N$11,0)),0)*IF(OR(Criteria!G29="الكل",Criteria!G29=$D$6),1,0)</f>
        <v>2</v>
      </c>
      <c r="G31" s="9"/>
      <c r="H31" s="9"/>
      <c r="I31" s="9"/>
      <c r="J31" s="9"/>
      <c r="K31" s="9"/>
    </row>
    <row r="32" spans="1:11" ht="30" customHeight="1" x14ac:dyDescent="0.25">
      <c r="A32" s="17">
        <f>Criteria!A30</f>
        <v>19</v>
      </c>
      <c r="B32" s="17" t="str">
        <f>Criteria!B30</f>
        <v>EQP-01</v>
      </c>
      <c r="C32" s="18" t="str">
        <f>Criteria!C30</f>
        <v>المعدات وأدوات القياس</v>
      </c>
      <c r="D32" s="18" t="str">
        <f>Criteria!E30</f>
        <v>معدات مملوكة أو مؤجرة بعقود مناسبة للتخصص وبحالة تشغيلية جيدة</v>
      </c>
      <c r="E32" s="17" t="str">
        <f>Criteria!H30</f>
        <v>لا</v>
      </c>
      <c r="F32" s="19">
        <f>IFERROR(INDEX(Criteria!$J30:$N30,MATCH($D$5,Criteria!$J$11:$N$11,0)),0)*IF(OR(Criteria!G30="الكل",Criteria!G30=$D$6),1,0)</f>
        <v>6.25</v>
      </c>
      <c r="G32" s="9"/>
      <c r="H32" s="9"/>
      <c r="I32" s="9"/>
      <c r="J32" s="9"/>
      <c r="K32" s="9"/>
    </row>
    <row r="33" spans="1:11" ht="30" customHeight="1" x14ac:dyDescent="0.25">
      <c r="A33" s="17">
        <f>Criteria!A31</f>
        <v>20</v>
      </c>
      <c r="B33" s="17" t="str">
        <f>Criteria!B31</f>
        <v>EQP-02</v>
      </c>
      <c r="C33" s="18" t="str">
        <f>Criteria!C31</f>
        <v>المعدات وأدوات القياس</v>
      </c>
      <c r="D33" s="18" t="str">
        <f>Criteria!E31</f>
        <v>أدوات قياس واختبار بالموقع بشهادات معايرة سارية</v>
      </c>
      <c r="E33" s="17" t="str">
        <f>Criteria!H31</f>
        <v>لا</v>
      </c>
      <c r="F33" s="19">
        <f>IFERROR(INDEX(Criteria!$J31:$N31,MATCH($D$5,Criteria!$J$11:$N$11,0)),0)*IF(OR(Criteria!G31="الكل",Criteria!G31=$D$6),1,0)</f>
        <v>3.75</v>
      </c>
      <c r="G33" s="9"/>
      <c r="H33" s="9"/>
      <c r="I33" s="9"/>
      <c r="J33" s="9"/>
      <c r="K33" s="9"/>
    </row>
    <row r="34" spans="1:11" ht="30" customHeight="1" x14ac:dyDescent="0.25">
      <c r="A34" s="17">
        <f>Criteria!A32</f>
        <v>21</v>
      </c>
      <c r="B34" s="17" t="str">
        <f>Criteria!B32</f>
        <v>QAC-01</v>
      </c>
      <c r="C34" s="18" t="str">
        <f>Criteria!C32</f>
        <v>نظام الجودة QA/QC</v>
      </c>
      <c r="D34" s="18" t="str">
        <f>Criteria!E32</f>
        <v>نظام جودة موثق (ISO 9001 أو دليل جودة معتمد داخليا)</v>
      </c>
      <c r="E34" s="17" t="str">
        <f>Criteria!H32</f>
        <v>لا</v>
      </c>
      <c r="F34" s="19">
        <f>IFERROR(INDEX(Criteria!$J32:$N32,MATCH($D$5,Criteria!$J$11:$N$11,0)),0)*IF(OR(Criteria!G32="الكل",Criteria!G32=$D$6),1,0)</f>
        <v>4</v>
      </c>
      <c r="G34" s="9"/>
      <c r="H34" s="9"/>
      <c r="I34" s="9"/>
      <c r="J34" s="9"/>
      <c r="K34" s="9"/>
    </row>
    <row r="35" spans="1:11" ht="30" customHeight="1" x14ac:dyDescent="0.25">
      <c r="A35" s="17">
        <f>Criteria!A33</f>
        <v>22</v>
      </c>
      <c r="B35" s="17" t="str">
        <f>Criteria!B33</f>
        <v>QAC-02</v>
      </c>
      <c r="C35" s="18" t="str">
        <f>Criteria!C33</f>
        <v>نظام الجودة QA/QC</v>
      </c>
      <c r="D35" s="18" t="str">
        <f>Criteria!E33</f>
        <v>نماذج Method Statements وخطط الفحص والاختبار ITP لمشروعات سابقة</v>
      </c>
      <c r="E35" s="17" t="str">
        <f>Criteria!H33</f>
        <v>لا</v>
      </c>
      <c r="F35" s="19">
        <f>IFERROR(INDEX(Criteria!$J33:$N33,MATCH($D$5,Criteria!$J$11:$N$11,0)),0)*IF(OR(Criteria!G33="الكل",Criteria!G33=$D$6),1,0)</f>
        <v>3</v>
      </c>
      <c r="G35" s="9"/>
      <c r="H35" s="9"/>
      <c r="I35" s="9"/>
      <c r="J35" s="9"/>
      <c r="K35" s="9"/>
    </row>
    <row r="36" spans="1:11" ht="30" customHeight="1" x14ac:dyDescent="0.25">
      <c r="A36" s="17">
        <f>Criteria!A34</f>
        <v>23</v>
      </c>
      <c r="B36" s="17" t="str">
        <f>Criteria!B34</f>
        <v>QAC-03</v>
      </c>
      <c r="C36" s="18" t="str">
        <f>Criteria!C34</f>
        <v>نظام الجودة QA/QC</v>
      </c>
      <c r="D36" s="18" t="str">
        <f>Criteria!E34</f>
        <v>سجل طلبات الاستلام وتقارير عدم المطابقة في مشروعات سابقة (نسبة القبول من أول مرة)</v>
      </c>
      <c r="E36" s="17" t="str">
        <f>Criteria!H34</f>
        <v>لا</v>
      </c>
      <c r="F36" s="19">
        <f>IFERROR(INDEX(Criteria!$J34:$N34,MATCH($D$5,Criteria!$J$11:$N$11,0)),0)*IF(OR(Criteria!G34="الكل",Criteria!G34=$D$6),1,0)</f>
        <v>3</v>
      </c>
      <c r="G36" s="9"/>
      <c r="H36" s="9"/>
      <c r="I36" s="9"/>
      <c r="J36" s="9"/>
      <c r="K36" s="9"/>
    </row>
    <row r="37" spans="1:11" ht="30" customHeight="1" x14ac:dyDescent="0.25">
      <c r="A37" s="17">
        <f>Criteria!A35</f>
        <v>24</v>
      </c>
      <c r="B37" s="17" t="str">
        <f>Criteria!B35</f>
        <v>HSE-01</v>
      </c>
      <c r="C37" s="18" t="str">
        <f>Criteria!C35</f>
        <v>السلامة والصحة المهنية HSE</v>
      </c>
      <c r="D37" s="18" t="str">
        <f>Criteria!E35</f>
        <v>خطة سلامة وصحة مهنية موثقة أو شهادة ISO 45001</v>
      </c>
      <c r="E37" s="17" t="str">
        <f>Criteria!H35</f>
        <v>لا</v>
      </c>
      <c r="F37" s="19">
        <f>IFERROR(INDEX(Criteria!$J35:$N35,MATCH($D$5,Criteria!$J$11:$N$11,0)),0)*IF(OR(Criteria!G35="الكل",Criteria!G35=$D$6),1,0)</f>
        <v>4</v>
      </c>
      <c r="G37" s="9"/>
      <c r="H37" s="9"/>
      <c r="I37" s="9"/>
      <c r="J37" s="9"/>
      <c r="K37" s="9"/>
    </row>
    <row r="38" spans="1:11" ht="30" customHeight="1" x14ac:dyDescent="0.25">
      <c r="A38" s="17">
        <f>Criteria!A36</f>
        <v>25</v>
      </c>
      <c r="B38" s="17" t="str">
        <f>Criteria!B36</f>
        <v>HSE-02</v>
      </c>
      <c r="C38" s="18" t="str">
        <f>Criteria!C36</f>
        <v>السلامة والصحة المهنية HSE</v>
      </c>
      <c r="D38" s="18" t="str">
        <f>Criteria!E36</f>
        <v>سجل الحوادث لآخر 3 سنوات (LTIFR) وخلوه من الوفيات</v>
      </c>
      <c r="E38" s="17" t="str">
        <f>Criteria!H36</f>
        <v>لا</v>
      </c>
      <c r="F38" s="19">
        <f>IFERROR(INDEX(Criteria!$J36:$N36,MATCH($D$5,Criteria!$J$11:$N$11,0)),0)*IF(OR(Criteria!G36="الكل",Criteria!G36=$D$6),1,0)</f>
        <v>4</v>
      </c>
      <c r="G38" s="9"/>
      <c r="H38" s="9"/>
      <c r="I38" s="9"/>
      <c r="J38" s="9"/>
      <c r="K38" s="9"/>
    </row>
    <row r="39" spans="1:11" ht="30" customHeight="1" x14ac:dyDescent="0.25">
      <c r="A39" s="17">
        <f>Criteria!A37</f>
        <v>26</v>
      </c>
      <c r="B39" s="17" t="str">
        <f>Criteria!B37</f>
        <v>HSE-03</v>
      </c>
      <c r="C39" s="18" t="str">
        <f>Criteria!C37</f>
        <v>السلامة والصحة المهنية HSE</v>
      </c>
      <c r="D39" s="18" t="str">
        <f>Criteria!E37</f>
        <v>برامج التدريب والتوعية وسجلات اجتماعات السلامة اليومية</v>
      </c>
      <c r="E39" s="17" t="str">
        <f>Criteria!H37</f>
        <v>لا</v>
      </c>
      <c r="F39" s="19">
        <f>IFERROR(INDEX(Criteria!$J37:$N37,MATCH($D$5,Criteria!$J$11:$N$11,0)),0)*IF(OR(Criteria!G37="الكل",Criteria!G37=$D$6),1,0)</f>
        <v>2</v>
      </c>
      <c r="G39" s="9"/>
      <c r="H39" s="9"/>
      <c r="I39" s="9"/>
      <c r="J39" s="9"/>
      <c r="K39" s="9"/>
    </row>
    <row r="40" spans="1:11" ht="43.95" customHeight="1" x14ac:dyDescent="0.25">
      <c r="A40" s="17">
        <f>Criteria!A38</f>
        <v>27</v>
      </c>
      <c r="B40" s="17" t="str">
        <f>Criteria!B38</f>
        <v>CIV-T1</v>
      </c>
      <c r="C40" s="18" t="str">
        <f>Criteria!C38</f>
        <v>القدرة الفنية للتخصص</v>
      </c>
      <c r="D40" s="18" t="str">
        <f>Criteria!E38</f>
        <v>توريد خرسانة من محطة معتمدة بموازين معايرة وإجراء 3 خلطات تجريبية تأكيدية لكل رتبة قبل التوريد</v>
      </c>
      <c r="E40" s="17" t="str">
        <f>Criteria!H38</f>
        <v>لا</v>
      </c>
      <c r="F40" s="19">
        <f>IFERROR(INDEX(Criteria!$J38:$N38,MATCH($D$5,Criteria!$J$11:$N$11,0)),0)*IF(OR(Criteria!G38="الكل",Criteria!G38=$D$6),1,0)</f>
        <v>2.5</v>
      </c>
      <c r="G40" s="9"/>
      <c r="H40" s="9"/>
      <c r="I40" s="9"/>
      <c r="J40" s="9"/>
      <c r="K40" s="9"/>
    </row>
    <row r="41" spans="1:11" ht="43.95" customHeight="1" x14ac:dyDescent="0.25">
      <c r="A41" s="17">
        <f>Criteria!A39</f>
        <v>28</v>
      </c>
      <c r="B41" s="17" t="str">
        <f>Criteria!B39</f>
        <v>CIV-T2</v>
      </c>
      <c r="C41" s="18" t="str">
        <f>Criteria!C39</f>
        <v>القدرة الفنية للتخصص</v>
      </c>
      <c r="D41" s="18" t="str">
        <f>Criteria!E39</f>
        <v>التحكم في الخرسانة الطازجة عند الاستلام: هبوط مطابق للخلطة لكل 50 م3، حرارة لا تتجاوز 32 درجة (35 درجة حدا أقصى حسب الكود المصري ما لم تنص المواصفات على غير ذلك)، و6 مكعبات لأول 50 م3 ثم 6 لكل 100 م3 ولكل رتبة وعنصر ويوم صب</v>
      </c>
      <c r="E41" s="17" t="str">
        <f>Criteria!H39</f>
        <v>لا</v>
      </c>
      <c r="F41" s="19">
        <f>IFERROR(INDEX(Criteria!$J39:$N39,MATCH($D$5,Criteria!$J$11:$N$11,0)),0)*IF(OR(Criteria!G39="الكل",Criteria!G39=$D$6),1,0)</f>
        <v>2.5</v>
      </c>
      <c r="G41" s="9"/>
      <c r="H41" s="9"/>
      <c r="I41" s="9"/>
      <c r="J41" s="9"/>
      <c r="K41" s="9"/>
    </row>
    <row r="42" spans="1:11" ht="43.95" customHeight="1" x14ac:dyDescent="0.25">
      <c r="A42" s="17">
        <f>Criteria!A40</f>
        <v>29</v>
      </c>
      <c r="B42" s="17" t="str">
        <f>Criteria!B40</f>
        <v>CIV-T3</v>
      </c>
      <c r="C42" s="18" t="str">
        <f>Criteria!C40</f>
        <v>القدرة الفنية للتخصص</v>
      </c>
      <c r="D42" s="18" t="str">
        <f>Criteria!E40</f>
        <v>تحقيق معايير قبول مقاومة 28 يوما، والالتزام عند عدم المطابقة بإجراء اختبار القلب (3 قلوب على الأقل للعنصر) ثم اختبار التحميل بعد 6 أسابيع من الصب على نفقته</v>
      </c>
      <c r="E42" s="17" t="str">
        <f>Criteria!H40</f>
        <v>لا</v>
      </c>
      <c r="F42" s="19">
        <f>IFERROR(INDEX(Criteria!$J40:$N40,MATCH($D$5,Criteria!$J$11:$N$11,0)),0)*IF(OR(Criteria!G40="الكل",Criteria!G40=$D$6),1,0)</f>
        <v>2.5</v>
      </c>
      <c r="G42" s="9"/>
      <c r="H42" s="9"/>
      <c r="I42" s="9"/>
      <c r="J42" s="9"/>
      <c r="K42" s="9"/>
    </row>
    <row r="43" spans="1:11" ht="43.95" customHeight="1" x14ac:dyDescent="0.25">
      <c r="A43" s="17">
        <f>Criteria!A41</f>
        <v>30</v>
      </c>
      <c r="B43" s="17" t="str">
        <f>Criteria!B41</f>
        <v>CIV-T4</v>
      </c>
      <c r="C43" s="18" t="str">
        <f>Criteria!C41</f>
        <v>القدرة الفنية للتخصص</v>
      </c>
      <c r="D43" s="18" t="str">
        <f>Criteria!E41</f>
        <v>تقديم شهادات مصنع الحديد مع اختبارات الشد والثني لكل قطر ودفعة، واختبار الوصلات الميكانيكية والملحومة للأقطار 28 مم فأكثر عند 125% من إجهاد الخضوع</v>
      </c>
      <c r="E43" s="17" t="str">
        <f>Criteria!H41</f>
        <v>لا</v>
      </c>
      <c r="F43" s="19">
        <f>IFERROR(INDEX(Criteria!$J41:$N41,MATCH($D$5,Criteria!$J$11:$N$11,0)),0)*IF(OR(Criteria!G41="الكل",Criteria!G41=$D$6),1,0)</f>
        <v>2.5</v>
      </c>
      <c r="G43" s="9"/>
      <c r="H43" s="9"/>
      <c r="I43" s="9"/>
      <c r="J43" s="9"/>
      <c r="K43" s="9"/>
    </row>
    <row r="44" spans="1:11" ht="43.95" customHeight="1" x14ac:dyDescent="0.25">
      <c r="A44" s="17">
        <f>Criteria!A42</f>
        <v>31</v>
      </c>
      <c r="B44" s="17" t="str">
        <f>Criteria!B42</f>
        <v>CIV-T5</v>
      </c>
      <c r="C44" s="18" t="str">
        <f>Criteria!C42</f>
        <v>القدرة الفنية للتخصص</v>
      </c>
      <c r="D44" s="18" t="str">
        <f>Criteria!E42</f>
        <v>تسليم الحديد كنقطة توقف قبل الصب: الوصلات بالتبادل بحد أقصى 25% من المساحة في القطاع وتباعد 1.3 طول التماسك، تكثيف الكانات، والغطاء ببسكوت ومباعدات</v>
      </c>
      <c r="E44" s="17" t="str">
        <f>Criteria!H42</f>
        <v>لا</v>
      </c>
      <c r="F44" s="19">
        <f>IFERROR(INDEX(Criteria!$J42:$N42,MATCH($D$5,Criteria!$J$11:$N$11,0)),0)*IF(OR(Criteria!G42="الكل",Criteria!G42=$D$6),1,0)</f>
        <v>2.5</v>
      </c>
      <c r="G44" s="9"/>
      <c r="H44" s="9"/>
      <c r="I44" s="9"/>
      <c r="J44" s="9"/>
      <c r="K44" s="9"/>
    </row>
    <row r="45" spans="1:11" ht="43.95" customHeight="1" x14ac:dyDescent="0.25">
      <c r="A45" s="17">
        <f>Criteria!A43</f>
        <v>32</v>
      </c>
      <c r="B45" s="17" t="str">
        <f>Criteria!B43</f>
        <v>CIV-T6</v>
      </c>
      <c r="C45" s="18" t="str">
        <f>Criteria!C43</f>
        <v>القدرة الفنية للتخصص</v>
      </c>
      <c r="D45" s="18" t="str">
        <f>Criteria!E43</f>
        <v>تصميم إنشائي للشدات للأسقف الثقيلة، واستلام أفقية شدة البلاطات في حدود 5 مم لكل 3 م، والفك المبكر عند 70% من مقاومة 28 يوما (75% من الرتبة في المواصفات السعودية) بعينات معالجة بجوار العنصر</v>
      </c>
      <c r="E45" s="17" t="str">
        <f>Criteria!H43</f>
        <v>لا</v>
      </c>
      <c r="F45" s="19">
        <f>IFERROR(INDEX(Criteria!$J43:$N43,MATCH($D$5,Criteria!$J$11:$N$11,0)),0)*IF(OR(Criteria!G43="الكل",Criteria!G43=$D$6),1,0)</f>
        <v>2.5</v>
      </c>
      <c r="G45" s="9"/>
      <c r="H45" s="9"/>
      <c r="I45" s="9"/>
      <c r="J45" s="9"/>
      <c r="K45" s="9"/>
    </row>
    <row r="46" spans="1:11" ht="43.95" customHeight="1" x14ac:dyDescent="0.25">
      <c r="A46" s="17">
        <f>Criteria!A44</f>
        <v>33</v>
      </c>
      <c r="B46" s="17" t="str">
        <f>Criteria!B44</f>
        <v>CIV-T7</v>
      </c>
      <c r="C46" s="18" t="str">
        <f>Criteria!C44</f>
        <v>القدرة الفنية للتخصص</v>
      </c>
      <c r="D46" s="18" t="str">
        <f>Criteria!E44</f>
        <v>دمك الردم والإحلال على طبقات 20 إلى 25 سم بنسبة لا تقل عن 95% مع اختبار كثافة حقلية لكل 100 م2 لكل طبقة (3 اختبارات على الأقل)</v>
      </c>
      <c r="E46" s="17" t="str">
        <f>Criteria!H44</f>
        <v>لا</v>
      </c>
      <c r="F46" s="19">
        <f>IFERROR(INDEX(Criteria!$J44:$N44,MATCH($D$5,Criteria!$J$11:$N$11,0)),0)*IF(OR(Criteria!G44="الكل",Criteria!G44=$D$6),1,0)</f>
        <v>2.5</v>
      </c>
      <c r="G46" s="9"/>
      <c r="H46" s="9"/>
      <c r="I46" s="9"/>
      <c r="J46" s="9"/>
      <c r="K46" s="9"/>
    </row>
    <row r="47" spans="1:11" ht="43.95" customHeight="1" x14ac:dyDescent="0.25">
      <c r="A47" s="17">
        <f>Criteria!A45</f>
        <v>34</v>
      </c>
      <c r="B47" s="17" t="str">
        <f>Criteria!B45</f>
        <v>CIV-T8</v>
      </c>
      <c r="C47" s="18" t="str">
        <f>Criteria!C45</f>
        <v>القدرة الفنية للتخصص</v>
      </c>
      <c r="D47" s="18" t="str">
        <f>Criteria!E45</f>
        <v>رأسية الأعمدة في حدود 5 مم لكل 6 م بعد الفك، وتطبيق احتياطات الصب في الطقس الحار حسب ACI 305 عند تجاوز حرارة الجو 36 درجة في الظل</v>
      </c>
      <c r="E47" s="17" t="str">
        <f>Criteria!H45</f>
        <v>لا</v>
      </c>
      <c r="F47" s="19">
        <f>IFERROR(INDEX(Criteria!$J45:$N45,MATCH($D$5,Criteria!$J$11:$N$11,0)),0)*IF(OR(Criteria!G45="الكل",Criteria!G45=$D$6),1,0)</f>
        <v>2.5</v>
      </c>
      <c r="G47" s="9"/>
      <c r="H47" s="9"/>
      <c r="I47" s="9"/>
      <c r="J47" s="9"/>
      <c r="K47" s="9"/>
    </row>
    <row r="48" spans="1:11" ht="43.95" customHeight="1" x14ac:dyDescent="0.25">
      <c r="A48" s="17">
        <f>Criteria!A46</f>
        <v>35</v>
      </c>
      <c r="B48" s="17" t="str">
        <f>Criteria!B46</f>
        <v>FIN-T1</v>
      </c>
      <c r="C48" s="18" t="str">
        <f>Criteria!C46</f>
        <v>القدرة الفنية للتخصص</v>
      </c>
      <c r="D48" s="18" t="str">
        <f>Criteria!E46</f>
        <v>مطابقة البلوك والمونة لاختبارات القبول: البلوك المفرغ 35.2 كجم/سم2 للعينة و42.2 كجم/سم2 للمتوسط، ومكعبات مونة 3 عينات لكل 2000 وحدة</v>
      </c>
      <c r="E48" s="17" t="str">
        <f>Criteria!H46</f>
        <v>لا</v>
      </c>
      <c r="F48" s="19">
        <f>IFERROR(INDEX(Criteria!$J46:$N46,MATCH($D$5,Criteria!$J$11:$N$11,0)),0)*IF(OR(Criteria!G46="الكل",Criteria!G46=$D$6),1,0)</f>
        <v>0</v>
      </c>
      <c r="G48" s="9"/>
      <c r="H48" s="9"/>
      <c r="I48" s="9"/>
      <c r="J48" s="9"/>
      <c r="K48" s="9"/>
    </row>
    <row r="49" spans="1:11" ht="43.95" customHeight="1" x14ac:dyDescent="0.25">
      <c r="A49" s="17">
        <f>Criteria!A47</f>
        <v>36</v>
      </c>
      <c r="B49" s="17" t="str">
        <f>Criteria!B47</f>
        <v>FIN-T2</v>
      </c>
      <c r="C49" s="18" t="str">
        <f>Criteria!C47</f>
        <v>القدرة الفنية للتخصص</v>
      </c>
      <c r="D49" s="18" t="str">
        <f>Criteria!E47</f>
        <v>تنفيذ المباني بارتفاع لا يزيد عن 1.2 م في الدفعة، وأسياخ ربط بالأعمدة كل 50 سم، وفاصل مرن 12 إلى 25 مم أسفل الكمرات، وعدم استخدام المونة بعد ساعة من خلطها مع اختبار فيكات إذا تجاوزت 30 دقيقة</v>
      </c>
      <c r="E49" s="17" t="str">
        <f>Criteria!H47</f>
        <v>لا</v>
      </c>
      <c r="F49" s="19">
        <f>IFERROR(INDEX(Criteria!$J47:$N47,MATCH($D$5,Criteria!$J$11:$N$11,0)),0)*IF(OR(Criteria!G47="الكل",Criteria!G47=$D$6),1,0)</f>
        <v>0</v>
      </c>
      <c r="G49" s="9"/>
      <c r="H49" s="9"/>
      <c r="I49" s="9"/>
      <c r="J49" s="9"/>
      <c r="K49" s="9"/>
    </row>
    <row r="50" spans="1:11" ht="43.95" customHeight="1" x14ac:dyDescent="0.25">
      <c r="A50" s="17">
        <f>Criteria!A48</f>
        <v>37</v>
      </c>
      <c r="B50" s="17" t="str">
        <f>Criteria!B48</f>
        <v>FIN-T3</v>
      </c>
      <c r="C50" s="18" t="str">
        <f>Criteria!C48</f>
        <v>القدرة الفنية للتخصص</v>
      </c>
      <c r="D50" s="18" t="str">
        <f>Criteria!E48</f>
        <v>استواء اللياسة بحد أقصى 3 مم تحت قدة 3 م وخلوها من التطبيل، مع شبك عند التقاء الخرسانة بالمباني وأوتار لا تتباعد أكثر من 2 م</v>
      </c>
      <c r="E50" s="17" t="str">
        <f>Criteria!H48</f>
        <v>لا</v>
      </c>
      <c r="F50" s="19">
        <f>IFERROR(INDEX(Criteria!$J48:$N48,MATCH($D$5,Criteria!$J$11:$N$11,0)),0)*IF(OR(Criteria!G48="الكل",Criteria!G48=$D$6),1,0)</f>
        <v>0</v>
      </c>
      <c r="G50" s="9"/>
      <c r="H50" s="9"/>
      <c r="I50" s="9"/>
      <c r="J50" s="9"/>
      <c r="K50" s="9"/>
    </row>
    <row r="51" spans="1:11" ht="43.95" customHeight="1" x14ac:dyDescent="0.25">
      <c r="A51" s="17">
        <f>Criteria!A49</f>
        <v>38</v>
      </c>
      <c r="B51" s="17" t="str">
        <f>Criteria!B49</f>
        <v>FIN-T4</v>
      </c>
      <c r="C51" s="18" t="str">
        <f>Criteria!C49</f>
        <v>القدرة الفنية للتخصص</v>
      </c>
      <c r="D51" s="18" t="str">
        <f>Criteria!E49</f>
        <v>تركيب البلاط والسيراميك دون تطبيل عند الطرق، وتغطية ظهر بلاط الحوائط 80% على الأقل و100% بالمناطق الرطبة، واختبار ميول أرضيات الحمامات بالماء</v>
      </c>
      <c r="E51" s="17" t="str">
        <f>Criteria!H49</f>
        <v>لا</v>
      </c>
      <c r="F51" s="19">
        <f>IFERROR(INDEX(Criteria!$J49:$N49,MATCH($D$5,Criteria!$J$11:$N$11,0)),0)*IF(OR(Criteria!G49="الكل",Criteria!G49=$D$6),1,0)</f>
        <v>0</v>
      </c>
      <c r="G51" s="9"/>
      <c r="H51" s="9"/>
      <c r="I51" s="9"/>
      <c r="J51" s="9"/>
      <c r="K51" s="9"/>
    </row>
    <row r="52" spans="1:11" ht="30" customHeight="1" x14ac:dyDescent="0.25">
      <c r="A52" s="17">
        <f>Criteria!A50</f>
        <v>39</v>
      </c>
      <c r="B52" s="17" t="str">
        <f>Criteria!B50</f>
        <v>FIN-T5</v>
      </c>
      <c r="C52" s="18" t="str">
        <f>Criteria!C50</f>
        <v>القدرة الفنية للتخصص</v>
      </c>
      <c r="D52" s="18" t="str">
        <f>Criteria!E50</f>
        <v>قياس رطوبة اللياسة قبل الدهان بحد أقصى 12% وقياس سمك الدهان الرطب والجاف لكل طبقة</v>
      </c>
      <c r="E52" s="17" t="str">
        <f>Criteria!H50</f>
        <v>لا</v>
      </c>
      <c r="F52" s="19">
        <f>IFERROR(INDEX(Criteria!$J50:$N50,MATCH($D$5,Criteria!$J$11:$N$11,0)),0)*IF(OR(Criteria!G50="الكل",Criteria!G50=$D$6),1,0)</f>
        <v>0</v>
      </c>
      <c r="G52" s="9"/>
      <c r="H52" s="9"/>
      <c r="I52" s="9"/>
      <c r="J52" s="9"/>
      <c r="K52" s="9"/>
    </row>
    <row r="53" spans="1:11" ht="30" customHeight="1" x14ac:dyDescent="0.25">
      <c r="A53" s="17">
        <f>Criteria!A51</f>
        <v>40</v>
      </c>
      <c r="B53" s="17" t="str">
        <f>Criteria!B51</f>
        <v>FIN-T6</v>
      </c>
      <c r="C53" s="18" t="str">
        <f>Criteria!C51</f>
        <v>القدرة الفنية للتخصص</v>
      </c>
      <c r="D53" s="18" t="str">
        <f>Criteria!E51</f>
        <v>استلام الأسقف المستعارة بشد الخيوط والتحقق من عدم الترخيم وثبات المنسوب</v>
      </c>
      <c r="E53" s="17" t="str">
        <f>Criteria!H51</f>
        <v>لا</v>
      </c>
      <c r="F53" s="19">
        <f>IFERROR(INDEX(Criteria!$J51:$N51,MATCH($D$5,Criteria!$J$11:$N$11,0)),0)*IF(OR(Criteria!G51="الكل",Criteria!G51=$D$6),1,0)</f>
        <v>0</v>
      </c>
      <c r="G53" s="9"/>
      <c r="H53" s="9"/>
      <c r="I53" s="9"/>
      <c r="J53" s="9"/>
      <c r="K53" s="9"/>
    </row>
    <row r="54" spans="1:11" ht="43.95" customHeight="1" x14ac:dyDescent="0.25">
      <c r="A54" s="17">
        <f>Criteria!A52</f>
        <v>41</v>
      </c>
      <c r="B54" s="17" t="str">
        <f>Criteria!B52</f>
        <v>FIN-T7</v>
      </c>
      <c r="C54" s="18" t="str">
        <f>Criteria!C52</f>
        <v>القدرة الفنية للتخصص</v>
      </c>
      <c r="D54" s="18" t="str">
        <f>Criteria!E52</f>
        <v>خلوص ضلف الأبواب مع الحلوق 0.8 مم رأسي و1.5 مم أفقي، ومحتوى رطوبة الخشب قبل الدهان لا يزيد عن 12% للمعرض للجو و18% لغير المعرض</v>
      </c>
      <c r="E54" s="17" t="str">
        <f>Criteria!H52</f>
        <v>لا</v>
      </c>
      <c r="F54" s="19">
        <f>IFERROR(INDEX(Criteria!$J52:$N52,MATCH($D$5,Criteria!$J$11:$N$11,0)),0)*IF(OR(Criteria!G52="الكل",Criteria!G52=$D$6),1,0)</f>
        <v>0</v>
      </c>
      <c r="G54" s="9"/>
      <c r="H54" s="9"/>
      <c r="I54" s="9"/>
      <c r="J54" s="9"/>
      <c r="K54" s="9"/>
    </row>
    <row r="55" spans="1:11" ht="43.95" customHeight="1" x14ac:dyDescent="0.25">
      <c r="A55" s="17">
        <f>Criteria!A53</f>
        <v>42</v>
      </c>
      <c r="B55" s="17" t="str">
        <f>Criteria!B53</f>
        <v>MEP-T1</v>
      </c>
      <c r="C55" s="18" t="str">
        <f>Criteria!C53</f>
        <v>القدرة الفنية للتخصص</v>
      </c>
      <c r="D55" s="18" t="str">
        <f>Criteria!E53</f>
        <v>اختبار مواسير الصرف بالماء قبل التغطية بعمود ماء 3 م دون تسريب، وثبات المنسوب 15 دقيقة لخطوط الصرف بالجاذبية</v>
      </c>
      <c r="E55" s="17" t="str">
        <f>Criteria!H53</f>
        <v>لا</v>
      </c>
      <c r="F55" s="19">
        <f>IFERROR(INDEX(Criteria!$J53:$N53,MATCH($D$5,Criteria!$J$11:$N$11,0)),0)*IF(OR(Criteria!G53="الكل",Criteria!G53=$D$6),1,0)</f>
        <v>0</v>
      </c>
      <c r="G55" s="9"/>
      <c r="H55" s="9"/>
      <c r="I55" s="9"/>
      <c r="J55" s="9"/>
      <c r="K55" s="9"/>
    </row>
    <row r="56" spans="1:11" ht="43.95" customHeight="1" x14ac:dyDescent="0.25">
      <c r="A56" s="17">
        <f>Criteria!A54</f>
        <v>43</v>
      </c>
      <c r="B56" s="17" t="str">
        <f>Criteria!B54</f>
        <v>MEP-T2</v>
      </c>
      <c r="C56" s="18" t="str">
        <f>Criteria!C54</f>
        <v>القدرة الفنية للتخصص</v>
      </c>
      <c r="D56" s="18" t="str">
        <f>Criteria!E54</f>
        <v>اختبار ضغط مواسير التغذية عند 1.5 مرة ضغط التشغيل (المعتاد 8 بار) دون هبوط، وتعقيم الشبكة والخزانات بمحلول كلور 50 مجم/لتر لمدة 24 ساعة قبل التشغيل</v>
      </c>
      <c r="E56" s="17" t="str">
        <f>Criteria!H54</f>
        <v>لا</v>
      </c>
      <c r="F56" s="19">
        <f>IFERROR(INDEX(Criteria!$J54:$N54,MATCH($D$5,Criteria!$J$11:$N$11,0)),0)*IF(OR(Criteria!G54="الكل",Criteria!G54=$D$6),1,0)</f>
        <v>0</v>
      </c>
      <c r="G56" s="9"/>
      <c r="H56" s="9"/>
      <c r="I56" s="9"/>
      <c r="J56" s="9"/>
      <c r="K56" s="9"/>
    </row>
    <row r="57" spans="1:11" ht="43.95" customHeight="1" x14ac:dyDescent="0.25">
      <c r="A57" s="17">
        <f>Criteria!A55</f>
        <v>44</v>
      </c>
      <c r="B57" s="17" t="str">
        <f>Criteria!B55</f>
        <v>MEP-T3</v>
      </c>
      <c r="C57" s="18" t="str">
        <f>Criteria!C55</f>
        <v>القدرة الفنية للتخصص</v>
      </c>
      <c r="D57" s="18" t="str">
        <f>Criteria!E55</f>
        <v>جرابات معدنية لكل ماسورة تخترق عنصرا خرسانيا بخلوص مناسب، وميول صرف أفقي 1:100 على الأقل للأقطار حتى 4 بوصة</v>
      </c>
      <c r="E57" s="17" t="str">
        <f>Criteria!H55</f>
        <v>لا</v>
      </c>
      <c r="F57" s="19">
        <f>IFERROR(INDEX(Criteria!$J55:$N55,MATCH($D$5,Criteria!$J$11:$N$11,0)),0)*IF(OR(Criteria!G55="الكل",Criteria!G55=$D$6),1,0)</f>
        <v>0</v>
      </c>
      <c r="G57" s="9"/>
      <c r="H57" s="9"/>
      <c r="I57" s="9"/>
      <c r="J57" s="9"/>
      <c r="K57" s="9"/>
    </row>
    <row r="58" spans="1:11" ht="43.95" customHeight="1" x14ac:dyDescent="0.25">
      <c r="A58" s="17">
        <f>Criteria!A56</f>
        <v>45</v>
      </c>
      <c r="B58" s="17" t="str">
        <f>Criteria!B56</f>
        <v>MEP-T4</v>
      </c>
      <c r="C58" s="18" t="str">
        <f>Criteria!C56</f>
        <v>القدرة الفنية للتخصص</v>
      </c>
      <c r="D58" s="18" t="str">
        <f>Criteria!E56</f>
        <v>تنفيذ تسلسل اختبارات التركيبات الكهربائية: الاستمرارية، قطب التأريض، مقاومة العزل، القطبية، معاوقة حلقة الخطأ الأرضي، وأداء قواطع التسرب</v>
      </c>
      <c r="E58" s="17" t="str">
        <f>Criteria!H56</f>
        <v>لا</v>
      </c>
      <c r="F58" s="19">
        <f>IFERROR(INDEX(Criteria!$J56:$N56,MATCH($D$5,Criteria!$J$11:$N$11,0)),0)*IF(OR(Criteria!G56="الكل",Criteria!G56=$D$6),1,0)</f>
        <v>0</v>
      </c>
      <c r="G58" s="9"/>
      <c r="H58" s="9"/>
      <c r="I58" s="9"/>
      <c r="J58" s="9"/>
      <c r="K58" s="9"/>
    </row>
    <row r="59" spans="1:11" ht="43.95" customHeight="1" x14ac:dyDescent="0.25">
      <c r="A59" s="17">
        <f>Criteria!A57</f>
        <v>46</v>
      </c>
      <c r="B59" s="17" t="str">
        <f>Criteria!B57</f>
        <v>MEP-T5</v>
      </c>
      <c r="C59" s="18" t="str">
        <f>Criteria!C57</f>
        <v>القدرة الفنية للتخصص</v>
      </c>
      <c r="D59" s="18" t="str">
        <f>Criteria!E57</f>
        <v>حماية دوائر المقابس والأماكن الرطبة بقاطع تسرب 30 مللي أمبير، وغطاء خرساني 40 مم للمواسير المدفونة ومنع دفنها في بلاطات أقل من 100 مم</v>
      </c>
      <c r="E59" s="17" t="str">
        <f>Criteria!H57</f>
        <v>لا</v>
      </c>
      <c r="F59" s="19">
        <f>IFERROR(INDEX(Criteria!$J57:$N57,MATCH($D$5,Criteria!$J$11:$N$11,0)),0)*IF(OR(Criteria!G57="الكل",Criteria!G57=$D$6),1,0)</f>
        <v>0</v>
      </c>
      <c r="G59" s="9"/>
      <c r="H59" s="9"/>
      <c r="I59" s="9"/>
      <c r="J59" s="9"/>
      <c r="K59" s="9"/>
    </row>
    <row r="60" spans="1:11" ht="43.95" customHeight="1" x14ac:dyDescent="0.25">
      <c r="A60" s="17">
        <f>Criteria!A58</f>
        <v>47</v>
      </c>
      <c r="B60" s="17" t="str">
        <f>Criteria!B58</f>
        <v>MEP-T6</v>
      </c>
      <c r="C60" s="18" t="str">
        <f>Criteria!C58</f>
        <v>القدرة الفنية للتخصص</v>
      </c>
      <c r="D60" s="18" t="str">
        <f>Criteria!E58</f>
        <v>الاختبار الهيدروستاتيكي لشبكة الحريق بضغط التصميم مضافا إليه 3.5 بار وبحد أدنى 14 بار لمدة ساعتين دون فقد، ولا يقل عن 13.8 بار حسب NFPA 13</v>
      </c>
      <c r="E60" s="17" t="str">
        <f>Criteria!H58</f>
        <v>لا</v>
      </c>
      <c r="F60" s="19">
        <f>IFERROR(INDEX(Criteria!$J58:$N58,MATCH($D$5,Criteria!$J$11:$N$11,0)),0)*IF(OR(Criteria!G58="الكل",Criteria!G58=$D$6),1,0)</f>
        <v>0</v>
      </c>
      <c r="G60" s="9"/>
      <c r="H60" s="9"/>
      <c r="I60" s="9"/>
      <c r="J60" s="9"/>
      <c r="K60" s="9"/>
    </row>
    <row r="61" spans="1:11" ht="43.95" customHeight="1" x14ac:dyDescent="0.25">
      <c r="A61" s="17">
        <f>Criteria!A59</f>
        <v>48</v>
      </c>
      <c r="B61" s="17" t="str">
        <f>Criteria!B59</f>
        <v>MEP-T7</v>
      </c>
      <c r="C61" s="18" t="str">
        <f>Criteria!C59</f>
        <v>القدرة الفنية للتخصص</v>
      </c>
      <c r="D61" s="18" t="str">
        <f>Criteria!E59</f>
        <v>اختبار نظام الإنذار: الكواشف لكل منطقة، إنذار مفتاح التدفق خلال 90 ثانية، وشدة الصوت 15 ديسيبل فوق ضوضاء المكان على الأقل</v>
      </c>
      <c r="E61" s="17" t="str">
        <f>Criteria!H59</f>
        <v>لا</v>
      </c>
      <c r="F61" s="19">
        <f>IFERROR(INDEX(Criteria!$J59:$N59,MATCH($D$5,Criteria!$J$11:$N$11,0)),0)*IF(OR(Criteria!G59="الكل",Criteria!G59=$D$6),1,0)</f>
        <v>0</v>
      </c>
      <c r="G61" s="9"/>
      <c r="H61" s="9"/>
      <c r="I61" s="9"/>
      <c r="J61" s="9"/>
      <c r="K61" s="9"/>
    </row>
    <row r="62" spans="1:11" ht="43.95" customHeight="1" x14ac:dyDescent="0.25">
      <c r="A62" s="17">
        <f>Criteria!A60</f>
        <v>49</v>
      </c>
      <c r="B62" s="17" t="str">
        <f>Criteria!B60</f>
        <v>MEP-T8</v>
      </c>
      <c r="C62" s="18" t="str">
        <f>Criteria!C60</f>
        <v>القدرة الفنية للتخصص</v>
      </c>
      <c r="D62" s="18" t="str">
        <f>Criteria!E60</f>
        <v>اختبار تسرب مجاري الهواء قبل العزل، واختبار المياه المثلجة عند 1.5 مرة ضغط التشغيل لمدة 24 ساعة، وتنفيذ الضبط والموازنة TAB وصمامات الحريق</v>
      </c>
      <c r="E62" s="17" t="str">
        <f>Criteria!H60</f>
        <v>لا</v>
      </c>
      <c r="F62" s="19">
        <f>IFERROR(INDEX(Criteria!$J60:$N60,MATCH($D$5,Criteria!$J$11:$N$11,0)),0)*IF(OR(Criteria!G60="الكل",Criteria!G60=$D$6),1,0)</f>
        <v>0</v>
      </c>
      <c r="G62" s="9"/>
      <c r="H62" s="9"/>
      <c r="I62" s="9"/>
      <c r="J62" s="9"/>
      <c r="K62" s="9"/>
    </row>
    <row r="63" spans="1:11" ht="43.95" customHeight="1" x14ac:dyDescent="0.25">
      <c r="A63" s="17">
        <f>Criteria!A61</f>
        <v>50</v>
      </c>
      <c r="B63" s="17" t="str">
        <f>Criteria!B61</f>
        <v>WP-T1</v>
      </c>
      <c r="C63" s="18" t="str">
        <f>Criteria!C61</f>
        <v>القدرة الفنية للتخصص</v>
      </c>
      <c r="D63" s="18" t="str">
        <f>Criteria!E61</f>
        <v>اختبار البيتومين لكل توريد (نقطة الوميض، نقطة التليين، الاختراق)، واختبارات اللفائف (السمك، الشد والاستطالة، التمزق، مقاومة الحرارة) لكل 10,000 م2</v>
      </c>
      <c r="E63" s="17" t="str">
        <f>Criteria!H61</f>
        <v>لا</v>
      </c>
      <c r="F63" s="19">
        <f>IFERROR(INDEX(Criteria!$J61:$N61,MATCH($D$5,Criteria!$J$11:$N$11,0)),0)*IF(OR(Criteria!G61="الكل",Criteria!G61=$D$6),1,0)</f>
        <v>0</v>
      </c>
      <c r="G63" s="9"/>
      <c r="H63" s="9"/>
      <c r="I63" s="9"/>
      <c r="J63" s="9"/>
      <c r="K63" s="9"/>
    </row>
    <row r="64" spans="1:11" ht="43.95" customHeight="1" x14ac:dyDescent="0.25">
      <c r="A64" s="17">
        <f>Criteria!A62</f>
        <v>51</v>
      </c>
      <c r="B64" s="17" t="str">
        <f>Criteria!B62</f>
        <v>WP-T2</v>
      </c>
      <c r="C64" s="18" t="str">
        <f>Criteria!C62</f>
        <v>القدرة الفنية للتخصص</v>
      </c>
      <c r="D64" s="18" t="str">
        <f>Criteria!E62</f>
        <v>بدء عزل الأساسات بعد انتهاء معالجة آخر عنصر (7 أيام) ودهان بيتوميني طبقتين للأوجه الملاصقة للتربة قبل الردم</v>
      </c>
      <c r="E64" s="17" t="str">
        <f>Criteria!H62</f>
        <v>لا</v>
      </c>
      <c r="F64" s="19">
        <f>IFERROR(INDEX(Criteria!$J62:$N62,MATCH($D$5,Criteria!$J$11:$N$11,0)),0)*IF(OR(Criteria!G62="الكل",Criteria!G62=$D$6),1,0)</f>
        <v>0</v>
      </c>
      <c r="G64" s="9"/>
      <c r="H64" s="9"/>
      <c r="I64" s="9"/>
      <c r="J64" s="9"/>
      <c r="K64" s="9"/>
    </row>
    <row r="65" spans="1:11" ht="30" customHeight="1" x14ac:dyDescent="0.25">
      <c r="A65" s="17">
        <f>Criteria!A63</f>
        <v>52</v>
      </c>
      <c r="B65" s="17" t="str">
        <f>Criteria!B63</f>
        <v>WP-T3</v>
      </c>
      <c r="C65" s="18" t="str">
        <f>Criteria!C63</f>
        <v>القدرة الفنية للتخصص</v>
      </c>
      <c r="D65" s="18" t="str">
        <f>Criteria!E63</f>
        <v>اختبار غمر عزل حوائط البدروم بالردم حتى نصف الارتفاع والتشبع لمدة أسبوع دون رشح للداخل</v>
      </c>
      <c r="E65" s="17" t="str">
        <f>Criteria!H63</f>
        <v>لا</v>
      </c>
      <c r="F65" s="19">
        <f>IFERROR(INDEX(Criteria!$J63:$N63,MATCH($D$5,Criteria!$J$11:$N$11,0)),0)*IF(OR(Criteria!G63="الكل",Criteria!G63=$D$6),1,0)</f>
        <v>0</v>
      </c>
      <c r="G65" s="9"/>
      <c r="H65" s="9"/>
      <c r="I65" s="9"/>
      <c r="J65" s="9"/>
      <c r="K65" s="9"/>
    </row>
    <row r="66" spans="1:11" ht="43.95" customHeight="1" x14ac:dyDescent="0.25">
      <c r="A66" s="17">
        <f>Criteria!A64</f>
        <v>53</v>
      </c>
      <c r="B66" s="17" t="str">
        <f>Criteria!B64</f>
        <v>WP-T4</v>
      </c>
      <c r="C66" s="18" t="str">
        <f>Criteria!C64</f>
        <v>القدرة الفنية للتخصص</v>
      </c>
      <c r="D66" s="18" t="str">
        <f>Criteria!E64</f>
        <v>اختبار الغمر للحمامات والأسطح بارتفاع 10 إلى 15 سم لمدة 48 ساعة (الأسطح 48 إلى 72 ساعة) دون تسريب</v>
      </c>
      <c r="E66" s="17" t="str">
        <f>Criteria!H64</f>
        <v>لا</v>
      </c>
      <c r="F66" s="19">
        <f>IFERROR(INDEX(Criteria!$J64:$N64,MATCH($D$5,Criteria!$J$11:$N$11,0)),0)*IF(OR(Criteria!G64="الكل",Criteria!G64=$D$6),1,0)</f>
        <v>0</v>
      </c>
      <c r="G66" s="9"/>
      <c r="H66" s="9"/>
      <c r="I66" s="9"/>
      <c r="J66" s="9"/>
      <c r="K66" s="9"/>
    </row>
    <row r="67" spans="1:11" ht="30" customHeight="1" x14ac:dyDescent="0.25">
      <c r="A67" s="17">
        <f>Criteria!A65</f>
        <v>54</v>
      </c>
      <c r="B67" s="17" t="str">
        <f>Criteria!B65</f>
        <v>WP-T5</v>
      </c>
      <c r="C67" s="18" t="str">
        <f>Criteria!C65</f>
        <v>القدرة الفنية للتخصص</v>
      </c>
      <c r="D67" s="18" t="str">
        <f>Criteria!E65</f>
        <v>تراكب لفائف العزل 10 سم طوليا و15 سم عرضيا مع اتجاه سريان المياه وفحص اللحامات</v>
      </c>
      <c r="E67" s="17" t="str">
        <f>Criteria!H65</f>
        <v>لا</v>
      </c>
      <c r="F67" s="19">
        <f>IFERROR(INDEX(Criteria!$J65:$N65,MATCH($D$5,Criteria!$J$11:$N$11,0)),0)*IF(OR(Criteria!G65="الكل",Criteria!G65=$D$6),1,0)</f>
        <v>0</v>
      </c>
      <c r="G67" s="9"/>
      <c r="H67" s="9"/>
      <c r="I67" s="9"/>
      <c r="J67" s="9"/>
      <c r="K67" s="9"/>
    </row>
    <row r="68" spans="1:11" ht="43.95" customHeight="1" x14ac:dyDescent="0.25">
      <c r="A68" s="17">
        <f>Criteria!A66</f>
        <v>55</v>
      </c>
      <c r="B68" s="17" t="str">
        <f>Criteria!B66</f>
        <v>WP-T6</v>
      </c>
      <c r="C68" s="18" t="str">
        <f>Criteria!C66</f>
        <v>القدرة الفنية للتخصص</v>
      </c>
      <c r="D68" s="18" t="str">
        <f>Criteria!E66</f>
        <v>ميول الأسطح 1% ولا تقل عن 3 مم/م، ورفع العزل 400 مم على الدروة مع Flashing، وتثبيت الجرجوري في أوطى نقطة قبل العزل</v>
      </c>
      <c r="E68" s="17" t="str">
        <f>Criteria!H66</f>
        <v>لا</v>
      </c>
      <c r="F68" s="19">
        <f>IFERROR(INDEX(Criteria!$J66:$N66,MATCH($D$5,Criteria!$J$11:$N$11,0)),0)*IF(OR(Criteria!G66="الكل",Criteria!G66=$D$6),1,0)</f>
        <v>0</v>
      </c>
      <c r="G68" s="9"/>
      <c r="H68" s="9"/>
      <c r="I68" s="9"/>
      <c r="J68" s="9"/>
      <c r="K68" s="9"/>
    </row>
    <row r="69" spans="1:11" ht="43.95" customHeight="1" x14ac:dyDescent="0.25">
      <c r="A69" s="17">
        <f>Criteria!A67</f>
        <v>56</v>
      </c>
      <c r="B69" s="17" t="str">
        <f>Criteria!B67</f>
        <v>WP-T7</v>
      </c>
      <c r="C69" s="18" t="str">
        <f>Criteria!C67</f>
        <v>القدرة الفنية للتخصص</v>
      </c>
      <c r="D69" s="18" t="str">
        <f>Criteria!E67</f>
        <v>معالجة اختراقات المواسير بجلبة وFlashing مرفوع 300 مم، ورفع عزل الحوائط الساندة 300 مم فوق أعلى منسوب للمياه الجوفية</v>
      </c>
      <c r="E69" s="17" t="str">
        <f>Criteria!H67</f>
        <v>لا</v>
      </c>
      <c r="F69" s="19">
        <f>IFERROR(INDEX(Criteria!$J67:$N67,MATCH($D$5,Criteria!$J$11:$N$11,0)),0)*IF(OR(Criteria!G67="الكل",Criteria!G67=$D$6),1,0)</f>
        <v>0</v>
      </c>
      <c r="G69" s="9"/>
      <c r="H69" s="9"/>
      <c r="I69" s="9"/>
      <c r="J69" s="9"/>
      <c r="K69" s="9"/>
    </row>
    <row r="70" spans="1:11" ht="43.95" customHeight="1" x14ac:dyDescent="0.25">
      <c r="A70" s="17">
        <f>Criteria!A68</f>
        <v>57</v>
      </c>
      <c r="B70" s="17" t="str">
        <f>Criteria!B68</f>
        <v>FAC-T1</v>
      </c>
      <c r="C70" s="18" t="str">
        <f>Criteria!C68</f>
        <v>القدرة الفنية للتخصص</v>
      </c>
      <c r="D70" s="18" t="str">
        <f>Criteria!E68</f>
        <v>اختبارات أداء الحوائط الستائرية: نفاذية الماء والهواء وتحمل ضغط الرياح والعزل الحراري والصوتي حسب المواصفات</v>
      </c>
      <c r="E70" s="17" t="str">
        <f>Criteria!H68</f>
        <v>لا</v>
      </c>
      <c r="F70" s="19">
        <f>IFERROR(INDEX(Criteria!$J68:$N68,MATCH($D$5,Criteria!$J$11:$N$11,0)),0)*IF(OR(Criteria!G68="الكل",Criteria!G68=$D$6),1,0)</f>
        <v>0</v>
      </c>
      <c r="G70" s="9"/>
      <c r="H70" s="9"/>
      <c r="I70" s="9"/>
      <c r="J70" s="9"/>
      <c r="K70" s="9"/>
    </row>
    <row r="71" spans="1:11" ht="43.95" customHeight="1" x14ac:dyDescent="0.25">
      <c r="A71" s="17">
        <f>Criteria!A69</f>
        <v>58</v>
      </c>
      <c r="B71" s="17" t="str">
        <f>Criteria!B69</f>
        <v>FAC-T2</v>
      </c>
      <c r="C71" s="18" t="str">
        <f>Criteria!C69</f>
        <v>القدرة الفنية للتخصص</v>
      </c>
      <c r="D71" s="18" t="str">
        <f>Criteria!E69</f>
        <v>اختبار تسليط الماء المضغوط من الخارج على الشبابيك والأبواب الألومنيوم والواجهات الزجاجية خاصة مناطق التجميع دون تسرب للداخل</v>
      </c>
      <c r="E71" s="17" t="str">
        <f>Criteria!H69</f>
        <v>لا</v>
      </c>
      <c r="F71" s="19">
        <f>IFERROR(INDEX(Criteria!$J69:$N69,MATCH($D$5,Criteria!$J$11:$N$11,0)),0)*IF(OR(Criteria!G69="الكل",Criteria!G69=$D$6),1,0)</f>
        <v>0</v>
      </c>
      <c r="G71" s="9"/>
      <c r="H71" s="9"/>
      <c r="I71" s="9"/>
      <c r="J71" s="9"/>
      <c r="K71" s="9"/>
    </row>
    <row r="72" spans="1:11" ht="43.95" customHeight="1" x14ac:dyDescent="0.25">
      <c r="A72" s="17">
        <f>Criteria!A70</f>
        <v>59</v>
      </c>
      <c r="B72" s="17" t="str">
        <f>Criteria!B70</f>
        <v>FAC-T3</v>
      </c>
      <c r="C72" s="18" t="str">
        <f>Criteria!C70</f>
        <v>القدرة الفنية للتخصص</v>
      </c>
      <c r="D72" s="18" t="str">
        <f>Criteria!E70</f>
        <v>سمك طبقة الأنودة للألومنيوم من 12 إلى 25 ميكرون حسب درجة تلوث الجو (22 إلى 25 ميكرون للمناطق الساحلية)، مع اختبار عينات عشوائية بمعمل متخصص</v>
      </c>
      <c r="E72" s="17" t="str">
        <f>Criteria!H70</f>
        <v>لا</v>
      </c>
      <c r="F72" s="19">
        <f>IFERROR(INDEX(Criteria!$J70:$N70,MATCH($D$5,Criteria!$J$11:$N$11,0)),0)*IF(OR(Criteria!G70="الكل",Criteria!G70=$D$6),1,0)</f>
        <v>0</v>
      </c>
      <c r="G72" s="9"/>
      <c r="H72" s="9"/>
      <c r="I72" s="9"/>
      <c r="J72" s="9"/>
      <c r="K72" s="9"/>
    </row>
    <row r="73" spans="1:11" ht="43.95" customHeight="1" x14ac:dyDescent="0.25">
      <c r="A73" s="17">
        <f>Criteria!A71</f>
        <v>60</v>
      </c>
      <c r="B73" s="17" t="str">
        <f>Criteria!B71</f>
        <v>FAC-T4</v>
      </c>
      <c r="C73" s="18" t="str">
        <f>Criteria!C71</f>
        <v>القدرة الفنية للتخصص</v>
      </c>
      <c r="D73" s="18" t="str">
        <f>Criteria!E71</f>
        <v>سمك الزجاج حسب مساحة اللوح: 4 مم حتى 0.50 م2، و6 مم حتى 3.30 م2، و8 مم فأكثر للأكبر أو حسب حسابات الرياح، مع فحص عينات عشوائية</v>
      </c>
      <c r="E73" s="17" t="str">
        <f>Criteria!H71</f>
        <v>لا</v>
      </c>
      <c r="F73" s="19">
        <f>IFERROR(INDEX(Criteria!$J71:$N71,MATCH($D$5,Criteria!$J$11:$N$11,0)),0)*IF(OR(Criteria!G71="الكل",Criteria!G71=$D$6),1,0)</f>
        <v>0</v>
      </c>
      <c r="G73" s="9"/>
      <c r="H73" s="9"/>
      <c r="I73" s="9"/>
      <c r="J73" s="9"/>
      <c r="K73" s="9"/>
    </row>
    <row r="74" spans="1:11" ht="43.95" customHeight="1" x14ac:dyDescent="0.25">
      <c r="A74" s="17">
        <f>Criteria!A72</f>
        <v>61</v>
      </c>
      <c r="B74" s="17" t="str">
        <f>Criteria!B72</f>
        <v>FAC-T5</v>
      </c>
      <c r="C74" s="18" t="str">
        <f>Criteria!C72</f>
        <v>القدرة الفنية للتخصص</v>
      </c>
      <c r="D74" s="18" t="str">
        <f>Criteria!E72</f>
        <v>التثبيت الميكانيكي للتكسيات الحجرية بمسامير ستانلس بعمق 2 بوصة على الأقل في الخرسانة، ولوح تعليق معدني بعرض 50 مم على الأقل عند التثبيت بباطن البلاطات</v>
      </c>
      <c r="E74" s="17" t="str">
        <f>Criteria!H72</f>
        <v>لا</v>
      </c>
      <c r="F74" s="19">
        <f>IFERROR(INDEX(Criteria!$J72:$N72,MATCH($D$5,Criteria!$J$11:$N$11,0)),0)*IF(OR(Criteria!G72="الكل",Criteria!G72=$D$6),1,0)</f>
        <v>0</v>
      </c>
      <c r="G74" s="9"/>
      <c r="H74" s="9"/>
      <c r="I74" s="9"/>
      <c r="J74" s="9"/>
      <c r="K74" s="9"/>
    </row>
    <row r="75" spans="1:11" ht="43.95" customHeight="1" x14ac:dyDescent="0.25">
      <c r="A75" s="17">
        <f>Criteria!A73</f>
        <v>62</v>
      </c>
      <c r="B75" s="17" t="str">
        <f>Criteria!B73</f>
        <v>FAC-T6</v>
      </c>
      <c r="C75" s="18" t="str">
        <f>Criteria!C73</f>
        <v>القدرة الفنية للتخصص</v>
      </c>
      <c r="D75" s="18" t="str">
        <f>Criteria!E73</f>
        <v>أبواب مقاومة للحريق بشهادة اختبار معتمدة تناسب مقاومة الجدار وفق NFPA 252 أو UL 10C بدلا من ASTM E152 المسحوبة، وتثبيت الحلوق بثلاثة مسامير على الأقل بكل جانب ومسمارين بالعتب</v>
      </c>
      <c r="E75" s="17" t="str">
        <f>Criteria!H73</f>
        <v>لا</v>
      </c>
      <c r="F75" s="19">
        <f>IFERROR(INDEX(Criteria!$J73:$N73,MATCH($D$5,Criteria!$J$11:$N$11,0)),0)*IF(OR(Criteria!G73="الكل",Criteria!G73=$D$6),1,0)</f>
        <v>0</v>
      </c>
      <c r="G75" s="9"/>
      <c r="H75" s="9"/>
      <c r="I75" s="9"/>
      <c r="J75" s="9"/>
      <c r="K75" s="9"/>
    </row>
    <row r="76" spans="1:11" ht="43.95" customHeight="1" x14ac:dyDescent="0.25">
      <c r="A76" s="17">
        <f>Criteria!A74</f>
        <v>63</v>
      </c>
      <c r="B76" s="17" t="str">
        <f>Criteria!B74</f>
        <v>FAC-T7</v>
      </c>
      <c r="C76" s="18" t="str">
        <f>Criteria!C74</f>
        <v>القدرة الفنية للتخصص</v>
      </c>
      <c r="D76" s="18" t="str">
        <f>Criteria!E74</f>
        <v>ارتفاع درابزين الدرج الصافي بعد التشطيب من 870 إلى 970 مم ويمتد 300 مم عند بداية الدرج ونهايته، مع تثبيت آمن</v>
      </c>
      <c r="E76" s="17" t="str">
        <f>Criteria!H74</f>
        <v>لا</v>
      </c>
      <c r="F76" s="19">
        <f>IFERROR(INDEX(Criteria!$J74:$N74,MATCH($D$5,Criteria!$J$11:$N$11,0)),0)*IF(OR(Criteria!G74="الكل",Criteria!G74=$D$6),1,0)</f>
        <v>0</v>
      </c>
      <c r="G76" s="9"/>
      <c r="H76" s="9"/>
      <c r="I76" s="9"/>
      <c r="J76" s="9"/>
      <c r="K76" s="9"/>
    </row>
    <row r="78" spans="1:11" ht="18" x14ac:dyDescent="0.25">
      <c r="D78" s="13" t="s">
        <v>291</v>
      </c>
      <c r="F78" s="14">
        <f>SUM($F$14:$F$76)</f>
        <v>100</v>
      </c>
      <c r="G78" s="14">
        <f>$F$78</f>
        <v>100</v>
      </c>
      <c r="H78" s="14">
        <f>$F$78</f>
        <v>100</v>
      </c>
      <c r="I78" s="14">
        <f>$F$78</f>
        <v>100</v>
      </c>
      <c r="J78" s="14">
        <f>$F$78</f>
        <v>100</v>
      </c>
      <c r="K78" s="14">
        <f>$F$78</f>
        <v>100</v>
      </c>
    </row>
    <row r="79" spans="1:11" ht="18" x14ac:dyDescent="0.25">
      <c r="D79" s="13" t="s">
        <v>292</v>
      </c>
      <c r="G79" s="20" t="str">
        <f>IF(G$12="","",IFERROR(SUMPRODUCT($F$14:$F$76,G14:G76)/(5*SUM($F$14:$F$76)),""))</f>
        <v/>
      </c>
      <c r="H79" s="20" t="str">
        <f>IF(H$12="","",IFERROR(SUMPRODUCT($F$14:$F$76,H14:H76)/(5*SUM($F$14:$F$76)),""))</f>
        <v/>
      </c>
      <c r="I79" s="20" t="str">
        <f>IF(I$12="","",IFERROR(SUMPRODUCT($F$14:$F$76,I14:I76)/(5*SUM($F$14:$F$76)),""))</f>
        <v/>
      </c>
      <c r="J79" s="20" t="str">
        <f>IF(J$12="","",IFERROR(SUMPRODUCT($F$14:$F$76,J14:J76)/(5*SUM($F$14:$F$76)),""))</f>
        <v/>
      </c>
      <c r="K79" s="20" t="str">
        <f>IF(K$12="","",IFERROR(SUMPRODUCT($F$14:$F$76,K14:K76)/(5*SUM($F$14:$F$76)),""))</f>
        <v/>
      </c>
    </row>
    <row r="80" spans="1:11" ht="18" x14ac:dyDescent="0.25">
      <c r="D80" s="13" t="s">
        <v>293</v>
      </c>
      <c r="G80" s="21" t="str">
        <f>IF(G$12="","",SUMPRODUCT(($F$14:$F$76&gt;0)*(LEN(G14:G76)=0)))</f>
        <v/>
      </c>
      <c r="H80" s="21" t="str">
        <f>IF(H$12="","",SUMPRODUCT(($F$14:$F$76&gt;0)*(LEN(H14:H76)=0)))</f>
        <v/>
      </c>
      <c r="I80" s="21" t="str">
        <f>IF(I$12="","",SUMPRODUCT(($F$14:$F$76&gt;0)*(LEN(I14:I76)=0)))</f>
        <v/>
      </c>
      <c r="J80" s="21" t="str">
        <f>IF(J$12="","",SUMPRODUCT(($F$14:$F$76&gt;0)*(LEN(J14:J76)=0)))</f>
        <v/>
      </c>
      <c r="K80" s="21" t="str">
        <f>IF(K$12="","",SUMPRODUCT(($F$14:$F$76&gt;0)*(LEN(K14:K76)=0)))</f>
        <v/>
      </c>
    </row>
    <row r="81" spans="4:11" ht="18" x14ac:dyDescent="0.25">
      <c r="D81" s="13" t="s">
        <v>294</v>
      </c>
      <c r="G81" s="21" t="str">
        <f>IF(G$12="","",SUMPRODUCT(($E$14:$E$76="نعم")*(Criteria!$G$12:$G$74&lt;&gt;IF($D$6="السعودية","مصر","السعودية"))*(G14:G76&lt;1)))</f>
        <v/>
      </c>
      <c r="H81" s="21" t="str">
        <f>IF(H$12="","",SUMPRODUCT(($E$14:$E$76="نعم")*(Criteria!$G$12:$G$74&lt;&gt;IF($D$6="السعودية","مصر","السعودية"))*(H14:H76&lt;1)))</f>
        <v/>
      </c>
      <c r="I81" s="21" t="str">
        <f>IF(I$12="","",SUMPRODUCT(($E$14:$E$76="نعم")*(Criteria!$G$12:$G$74&lt;&gt;IF($D$6="السعودية","مصر","السعودية"))*(I14:I76&lt;1)))</f>
        <v/>
      </c>
      <c r="J81" s="21" t="str">
        <f>IF(J$12="","",SUMPRODUCT(($E$14:$E$76="نعم")*(Criteria!$G$12:$G$74&lt;&gt;IF($D$6="السعودية","مصر","السعودية"))*(J14:J76&lt;1)))</f>
        <v/>
      </c>
      <c r="K81" s="21" t="str">
        <f>IF(K$12="","",SUMPRODUCT(($E$14:$E$76="نعم")*(Criteria!$G$12:$G$74&lt;&gt;IF($D$6="السعودية","مصر","السعودية"))*(K14:K76&lt;1)))</f>
        <v/>
      </c>
    </row>
    <row r="82" spans="4:11" ht="18" x14ac:dyDescent="0.25">
      <c r="D82" s="13" t="s">
        <v>295</v>
      </c>
      <c r="G82" s="6" t="str">
        <f>IF(G$12="","",IF(G79="","",IF(G81&gt;0,"غير مؤهل",IF(G79&gt;=$D$7,"مؤهل",IF(G79&gt;=$D$8,"مؤهل بشروط","غير مؤهل")))))</f>
        <v/>
      </c>
      <c r="H82" s="6" t="str">
        <f>IF(H$12="","",IF(H79="","",IF(H81&gt;0,"غير مؤهل",IF(H79&gt;=$D$7,"مؤهل",IF(H79&gt;=$D$8,"مؤهل بشروط","غير مؤهل")))))</f>
        <v/>
      </c>
      <c r="I82" s="6" t="str">
        <f>IF(I$12="","",IF(I79="","",IF(I81&gt;0,"غير مؤهل",IF(I79&gt;=$D$7,"مؤهل",IF(I79&gt;=$D$8,"مؤهل بشروط","غير مؤهل")))))</f>
        <v/>
      </c>
      <c r="J82" s="6" t="str">
        <f>IF(J$12="","",IF(J79="","",IF(J81&gt;0,"غير مؤهل",IF(J79&gt;=$D$7,"مؤهل",IF(J79&gt;=$D$8,"مؤهل بشروط","غير مؤهل")))))</f>
        <v/>
      </c>
      <c r="K82" s="6" t="str">
        <f>IF(K$12="","",IF(K79="","",IF(K81&gt;0,"غير مؤهل",IF(K79&gt;=$D$7,"مؤهل",IF(K79&gt;=$D$8,"مؤهل بشروط","غير مؤهل")))))</f>
        <v/>
      </c>
    </row>
    <row r="83" spans="4:11" ht="18" x14ac:dyDescent="0.25">
      <c r="D83" s="13" t="s">
        <v>296</v>
      </c>
      <c r="G83" s="21" t="str">
        <f>IF(OR(G$12="",G79=""),"",RANK(G79,$G$79:$K$79,0))</f>
        <v/>
      </c>
      <c r="H83" s="21" t="str">
        <f>IF(OR(H$12="",H79=""),"",RANK(H79,$G$79:$K$79,0))</f>
        <v/>
      </c>
      <c r="I83" s="21" t="str">
        <f>IF(OR(I$12="",I79=""),"",RANK(I79,$G$79:$K$79,0))</f>
        <v/>
      </c>
      <c r="J83" s="21" t="str">
        <f>IF(OR(J$12="",J79=""),"",RANK(J79,$G$79:$K$79,0))</f>
        <v/>
      </c>
      <c r="K83" s="21" t="str">
        <f>IF(OR(K$12="",K79=""),"",RANK(K79,$G$79:$K$79,0))</f>
        <v/>
      </c>
    </row>
    <row r="84" spans="4:11" ht="31.95" customHeight="1" x14ac:dyDescent="0.25">
      <c r="D84" s="13" t="s">
        <v>297</v>
      </c>
      <c r="G84" s="6" t="str">
        <f>IF(G82="","",IF(G81&gt;0,"معيار إلزامي غير مستوفى",IF(G80&gt;0,"تقييم غير مكتمل: "&amp;G80&amp;" بند","وفق النتيجة الموزونة")))</f>
        <v/>
      </c>
      <c r="H84" s="6" t="str">
        <f>IF(H82="","",IF(H81&gt;0,"معيار إلزامي غير مستوفى",IF(H80&gt;0,"تقييم غير مكتمل: "&amp;H80&amp;" بند","وفق النتيجة الموزونة")))</f>
        <v/>
      </c>
      <c r="I84" s="6" t="str">
        <f>IF(I82="","",IF(I81&gt;0,"معيار إلزامي غير مستوفى",IF(I80&gt;0,"تقييم غير مكتمل: "&amp;I80&amp;" بند","وفق النتيجة الموزونة")))</f>
        <v/>
      </c>
      <c r="J84" s="6" t="str">
        <f>IF(J82="","",IF(J81&gt;0,"معيار إلزامي غير مستوفى",IF(J80&gt;0,"تقييم غير مكتمل: "&amp;J80&amp;" بند","وفق النتيجة الموزونة")))</f>
        <v/>
      </c>
      <c r="K84" s="6" t="str">
        <f>IF(K82="","",IF(K81&gt;0,"معيار إلزامي غير مستوفى",IF(K80&gt;0,"تقييم غير مكتمل: "&amp;K80&amp;" بند","وفق النتيجة الموزونة")))</f>
        <v/>
      </c>
    </row>
    <row r="85" spans="4:11" ht="18" x14ac:dyDescent="0.25">
      <c r="D85" s="13" t="s">
        <v>298</v>
      </c>
      <c r="G85" s="21" t="str">
        <f>IF(OR(G82="مؤهل",G82="مؤهل بشروط"),1+SUMPRODUCT(($G$82:$K$82&lt;&gt;"غير مؤهل")*($G$82:$K$82&lt;&gt;"")*($G$79:$K$79&gt;G79)),"")</f>
        <v/>
      </c>
      <c r="H85" s="21" t="str">
        <f>IF(OR(H82="مؤهل",H82="مؤهل بشروط"),1+SUMPRODUCT(($G$82:$K$82&lt;&gt;"غير مؤهل")*($G$82:$K$82&lt;&gt;"")*($G$79:$K$79&gt;H79)),"")</f>
        <v/>
      </c>
      <c r="I85" s="21" t="str">
        <f>IF(OR(I82="مؤهل",I82="مؤهل بشروط"),1+SUMPRODUCT(($G$82:$K$82&lt;&gt;"غير مؤهل")*($G$82:$K$82&lt;&gt;"")*($G$79:$K$79&gt;I79)),"")</f>
        <v/>
      </c>
      <c r="J85" s="21" t="str">
        <f>IF(OR(J82="مؤهل",J82="مؤهل بشروط"),1+SUMPRODUCT(($G$82:$K$82&lt;&gt;"غير مؤهل")*($G$82:$K$82&lt;&gt;"")*($G$79:$K$79&gt;J79)),"")</f>
        <v/>
      </c>
      <c r="K85" s="21" t="str">
        <f>IF(OR(K82="مؤهل",K82="مؤهل بشروط"),1+SUMPRODUCT(($G$82:$K$82&lt;&gt;"غير مؤهل")*($G$82:$K$82&lt;&gt;"")*($G$79:$K$79&gt;K79)),"")</f>
        <v/>
      </c>
    </row>
    <row r="87" spans="4:11" ht="18" x14ac:dyDescent="0.25">
      <c r="D87" s="4" t="s">
        <v>299</v>
      </c>
      <c r="F87" s="4" t="s">
        <v>300</v>
      </c>
      <c r="G87" s="4" t="str">
        <f>IF(G$12="","المتقدم 1",G$12)</f>
        <v>المتقدم 1</v>
      </c>
      <c r="H87" s="4" t="str">
        <f>IF(H$12="","المتقدم 2",H$12)</f>
        <v>المتقدم 2</v>
      </c>
      <c r="I87" s="4" t="str">
        <f>IF(I$12="","المتقدم 3",I$12)</f>
        <v>المتقدم 3</v>
      </c>
      <c r="J87" s="4" t="str">
        <f>IF(J$12="","المتقدم 4",J$12)</f>
        <v>المتقدم 4</v>
      </c>
      <c r="K87" s="4" t="str">
        <f>IF(K$12="","المتقدم 5",K$12)</f>
        <v>المتقدم 5</v>
      </c>
    </row>
    <row r="88" spans="4:11" ht="18" x14ac:dyDescent="0.25">
      <c r="D88" s="15" t="s">
        <v>32</v>
      </c>
      <c r="F88" s="14">
        <f t="shared" ref="F88:F95" si="0">SUMIF($C$14:$C$76,$D88,$F$14:$F$76)</f>
        <v>5</v>
      </c>
      <c r="G88" s="22" t="str">
        <f t="shared" ref="G88:K95" si="1">IF(G$12="","",IFERROR(SUMPRODUCT(($C$14:$C$76=$D88)*$F$14:$F$76*G$14:G$76)/(5*$F88),""))</f>
        <v/>
      </c>
      <c r="H88" s="22" t="str">
        <f t="shared" si="1"/>
        <v/>
      </c>
      <c r="I88" s="22" t="str">
        <f t="shared" si="1"/>
        <v/>
      </c>
      <c r="J88" s="22" t="str">
        <f t="shared" si="1"/>
        <v/>
      </c>
      <c r="K88" s="22" t="str">
        <f t="shared" si="1"/>
        <v/>
      </c>
    </row>
    <row r="89" spans="4:11" ht="18" x14ac:dyDescent="0.25">
      <c r="D89" s="15" t="s">
        <v>56</v>
      </c>
      <c r="F89" s="14">
        <f t="shared" si="0"/>
        <v>15</v>
      </c>
      <c r="G89" s="22" t="str">
        <f t="shared" si="1"/>
        <v/>
      </c>
      <c r="H89" s="22" t="str">
        <f t="shared" si="1"/>
        <v/>
      </c>
      <c r="I89" s="22" t="str">
        <f t="shared" si="1"/>
        <v/>
      </c>
      <c r="J89" s="22" t="str">
        <f t="shared" si="1"/>
        <v/>
      </c>
      <c r="K89" s="22" t="str">
        <f t="shared" si="1"/>
        <v/>
      </c>
    </row>
    <row r="90" spans="4:11" ht="18" x14ac:dyDescent="0.25">
      <c r="D90" s="15" t="s">
        <v>69</v>
      </c>
      <c r="F90" s="14">
        <f t="shared" si="0"/>
        <v>18</v>
      </c>
      <c r="G90" s="22" t="str">
        <f t="shared" si="1"/>
        <v/>
      </c>
      <c r="H90" s="22" t="str">
        <f t="shared" si="1"/>
        <v/>
      </c>
      <c r="I90" s="22" t="str">
        <f t="shared" si="1"/>
        <v/>
      </c>
      <c r="J90" s="22" t="str">
        <f t="shared" si="1"/>
        <v/>
      </c>
      <c r="K90" s="22" t="str">
        <f t="shared" si="1"/>
        <v/>
      </c>
    </row>
    <row r="91" spans="4:11" ht="18" x14ac:dyDescent="0.25">
      <c r="D91" s="15" t="s">
        <v>82</v>
      </c>
      <c r="F91" s="14">
        <f t="shared" si="0"/>
        <v>12</v>
      </c>
      <c r="G91" s="22" t="str">
        <f t="shared" si="1"/>
        <v/>
      </c>
      <c r="H91" s="22" t="str">
        <f t="shared" si="1"/>
        <v/>
      </c>
      <c r="I91" s="22" t="str">
        <f t="shared" si="1"/>
        <v/>
      </c>
      <c r="J91" s="22" t="str">
        <f t="shared" si="1"/>
        <v/>
      </c>
      <c r="K91" s="22" t="str">
        <f t="shared" si="1"/>
        <v/>
      </c>
    </row>
    <row r="92" spans="4:11" ht="18" x14ac:dyDescent="0.25">
      <c r="D92" s="15" t="s">
        <v>95</v>
      </c>
      <c r="F92" s="14">
        <f t="shared" si="0"/>
        <v>10</v>
      </c>
      <c r="G92" s="22" t="str">
        <f t="shared" si="1"/>
        <v/>
      </c>
      <c r="H92" s="22" t="str">
        <f t="shared" si="1"/>
        <v/>
      </c>
      <c r="I92" s="22" t="str">
        <f t="shared" si="1"/>
        <v/>
      </c>
      <c r="J92" s="22" t="str">
        <f t="shared" si="1"/>
        <v/>
      </c>
      <c r="K92" s="22" t="str">
        <f t="shared" si="1"/>
        <v/>
      </c>
    </row>
    <row r="93" spans="4:11" ht="18" x14ac:dyDescent="0.25">
      <c r="D93" s="15" t="s">
        <v>102</v>
      </c>
      <c r="F93" s="14">
        <f t="shared" si="0"/>
        <v>10</v>
      </c>
      <c r="G93" s="22" t="str">
        <f t="shared" si="1"/>
        <v/>
      </c>
      <c r="H93" s="22" t="str">
        <f t="shared" si="1"/>
        <v/>
      </c>
      <c r="I93" s="22" t="str">
        <f t="shared" si="1"/>
        <v/>
      </c>
      <c r="J93" s="22" t="str">
        <f t="shared" si="1"/>
        <v/>
      </c>
      <c r="K93" s="22" t="str">
        <f t="shared" si="1"/>
        <v/>
      </c>
    </row>
    <row r="94" spans="4:11" ht="18" x14ac:dyDescent="0.25">
      <c r="D94" s="15" t="s">
        <v>112</v>
      </c>
      <c r="F94" s="14">
        <f t="shared" si="0"/>
        <v>10</v>
      </c>
      <c r="G94" s="22" t="str">
        <f t="shared" si="1"/>
        <v/>
      </c>
      <c r="H94" s="22" t="str">
        <f t="shared" si="1"/>
        <v/>
      </c>
      <c r="I94" s="22" t="str">
        <f t="shared" si="1"/>
        <v/>
      </c>
      <c r="J94" s="22" t="str">
        <f t="shared" si="1"/>
        <v/>
      </c>
      <c r="K94" s="22" t="str">
        <f t="shared" si="1"/>
        <v/>
      </c>
    </row>
    <row r="95" spans="4:11" ht="18" x14ac:dyDescent="0.25">
      <c r="D95" s="15" t="s">
        <v>122</v>
      </c>
      <c r="F95" s="14">
        <f t="shared" si="0"/>
        <v>20</v>
      </c>
      <c r="G95" s="22" t="str">
        <f t="shared" si="1"/>
        <v/>
      </c>
      <c r="H95" s="22" t="str">
        <f t="shared" si="1"/>
        <v/>
      </c>
      <c r="I95" s="22" t="str">
        <f t="shared" si="1"/>
        <v/>
      </c>
      <c r="J95" s="22" t="str">
        <f t="shared" si="1"/>
        <v/>
      </c>
      <c r="K95" s="22" t="str">
        <f t="shared" si="1"/>
        <v/>
      </c>
    </row>
    <row r="97" spans="4:9" ht="18" x14ac:dyDescent="0.25">
      <c r="D97" s="13" t="s">
        <v>301</v>
      </c>
      <c r="F97" s="39" t="s">
        <v>283</v>
      </c>
      <c r="G97" s="36"/>
      <c r="H97" s="36"/>
      <c r="I97" s="37"/>
    </row>
    <row r="98" spans="4:9" ht="18" x14ac:dyDescent="0.25">
      <c r="D98" s="13" t="s">
        <v>302</v>
      </c>
      <c r="F98" s="39"/>
      <c r="G98" s="36"/>
      <c r="H98" s="36"/>
      <c r="I98" s="37"/>
    </row>
    <row r="99" spans="4:9" ht="18" x14ac:dyDescent="0.25">
      <c r="D99" s="13" t="s">
        <v>303</v>
      </c>
      <c r="F99" s="39"/>
      <c r="G99" s="36"/>
      <c r="H99" s="36"/>
      <c r="I99" s="37"/>
    </row>
  </sheetData>
  <autoFilter ref="A13:K76" xr:uid="{00000000-0009-0000-0000-000001000000}"/>
  <mergeCells count="17">
    <mergeCell ref="F99:I99"/>
    <mergeCell ref="A5:C5"/>
    <mergeCell ref="A8:C8"/>
    <mergeCell ref="F97:I97"/>
    <mergeCell ref="A6:C6"/>
    <mergeCell ref="D5:E5"/>
    <mergeCell ref="A9:C9"/>
    <mergeCell ref="D8:E8"/>
    <mergeCell ref="D6:E6"/>
    <mergeCell ref="A10:C10"/>
    <mergeCell ref="F98:I98"/>
    <mergeCell ref="D7:E7"/>
    <mergeCell ref="D10:E10"/>
    <mergeCell ref="D4:E4"/>
    <mergeCell ref="A7:C7"/>
    <mergeCell ref="A4:C4"/>
    <mergeCell ref="D9:E9"/>
  </mergeCells>
  <conditionalFormatting sqref="A14:K76">
    <cfRule type="expression" dxfId="13" priority="1">
      <formula>$F14=0</formula>
    </cfRule>
  </conditionalFormatting>
  <conditionalFormatting sqref="G82:K82">
    <cfRule type="cellIs" dxfId="12" priority="2" operator="equal">
      <formula>"مؤهل"</formula>
    </cfRule>
    <cfRule type="cellIs" dxfId="11" priority="3" operator="equal">
      <formula>"مؤهل بشروط"</formula>
    </cfRule>
    <cfRule type="cellIs" dxfId="10" priority="4" operator="equal">
      <formula>"غير مؤهل"</formula>
    </cfRule>
  </conditionalFormatting>
  <conditionalFormatting sqref="G88:K95">
    <cfRule type="expression" dxfId="9" priority="5">
      <formula>AND(ISNUMBER(G88),G88&lt;0.5)</formula>
    </cfRule>
  </conditionalFormatting>
  <dataValidations count="3">
    <dataValidation type="list" sqref="D6" xr:uid="{00000000-0002-0000-0100-000001000000}">
      <formula1>"السعودية,مصر"</formula1>
    </dataValidation>
    <dataValidation type="decimal" sqref="D7:D8" xr:uid="{00000000-0002-0000-0100-000002000000}">
      <formula1>0</formula1>
      <formula2>1</formula2>
    </dataValidation>
    <dataValidation type="list" allowBlank="1" showErrorMessage="1" errorTitle="درجة غير صحيحة" error="أدخل درجة من 0 إلى 5" sqref="G14:K76" xr:uid="{00000000-0002-0000-0100-000003000000}">
      <formula1>"0,1,2,3,4,5"</formula1>
    </dataValidation>
  </dataValidations>
  <printOptions horizontalCentered="1"/>
  <pageMargins left="0.75" right="0.75" top="1" bottom="1" header="0.5" footer="0.5"/>
  <pageSetup paperSize="9" fitToHeight="0" orientation="landscape"/>
  <headerFooter>
    <oddFooter>&amp;Lالمبدعون العرب للاستشارات الهندسية ACE&amp;Cصفحة &amp;P من &amp;N&amp;R&amp;A</oddFooter>
  </headerFooter>
  <extLst>
    <ext xmlns:x14="http://schemas.microsoft.com/office/spreadsheetml/2009/9/main" uri="{CCE6A557-97BC-4b89-ADB6-D9C93CAAB3DF}">
      <x14:dataValidations xmlns:xm="http://schemas.microsoft.com/office/excel/2006/main" count="1">
        <x14:dataValidation type="list" xr:uid="{00000000-0002-0000-0100-000000000000}">
          <x14:formula1>
            <xm:f>Criteria!$J$11:$N$11</xm:f>
          </x14:formula1>
          <xm:sqref>D5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52976"/>
    <pageSetUpPr fitToPage="1"/>
  </sheetPr>
  <dimension ref="A1:AC41"/>
  <sheetViews>
    <sheetView rightToLeft="1" zoomScale="85" workbookViewId="0">
      <pane xSplit="2" ySplit="20" topLeftCell="C21" activePane="bottomRight" state="frozen"/>
      <selection pane="topRight"/>
      <selection pane="bottomLeft"/>
      <selection pane="bottomRight"/>
    </sheetView>
  </sheetViews>
  <sheetFormatPr defaultRowHeight="13.8" x14ac:dyDescent="0.25"/>
  <cols>
    <col min="1" max="1" width="6" customWidth="1"/>
    <col min="2" max="2" width="34" customWidth="1"/>
    <col min="3" max="3" width="9" customWidth="1"/>
    <col min="4" max="5" width="11" customWidth="1"/>
    <col min="6" max="6" width="9" customWidth="1"/>
    <col min="7" max="7" width="11" customWidth="1"/>
    <col min="8" max="8" width="9" customWidth="1"/>
    <col min="9" max="29" width="11" customWidth="1"/>
  </cols>
  <sheetData>
    <row r="1" spans="1:13" ht="25.8" x14ac:dyDescent="0.75">
      <c r="A1" s="1" t="s">
        <v>304</v>
      </c>
    </row>
    <row r="2" spans="1:13" ht="16.8" x14ac:dyDescent="0.5">
      <c r="A2" s="2" t="s">
        <v>305</v>
      </c>
    </row>
    <row r="4" spans="1:13" x14ac:dyDescent="0.25">
      <c r="A4" s="40" t="s">
        <v>306</v>
      </c>
      <c r="B4" s="37"/>
      <c r="C4" s="39" t="s">
        <v>307</v>
      </c>
      <c r="D4" s="36"/>
      <c r="E4" s="37"/>
    </row>
    <row r="5" spans="1:13" x14ac:dyDescent="0.25">
      <c r="A5" s="40" t="s">
        <v>308</v>
      </c>
      <c r="B5" s="37"/>
      <c r="C5" s="39" t="s">
        <v>26</v>
      </c>
      <c r="D5" s="36"/>
      <c r="E5" s="37"/>
    </row>
    <row r="6" spans="1:13" x14ac:dyDescent="0.25">
      <c r="A6" s="40" t="s">
        <v>309</v>
      </c>
      <c r="B6" s="37"/>
      <c r="C6" s="39" t="s">
        <v>274</v>
      </c>
      <c r="D6" s="36"/>
      <c r="E6" s="37"/>
    </row>
    <row r="7" spans="1:13" x14ac:dyDescent="0.25">
      <c r="A7" s="40" t="s">
        <v>310</v>
      </c>
      <c r="B7" s="37"/>
      <c r="C7" s="42">
        <v>46296</v>
      </c>
      <c r="D7" s="36"/>
      <c r="E7" s="37"/>
    </row>
    <row r="9" spans="1:13" ht="36" x14ac:dyDescent="0.25">
      <c r="A9" s="4" t="s">
        <v>17</v>
      </c>
      <c r="B9" s="4" t="s">
        <v>311</v>
      </c>
      <c r="C9" s="4" t="s">
        <v>312</v>
      </c>
      <c r="D9" s="4" t="s">
        <v>313</v>
      </c>
      <c r="E9" s="4" t="s">
        <v>314</v>
      </c>
      <c r="F9" s="4" t="s">
        <v>315</v>
      </c>
      <c r="H9" s="4" t="s">
        <v>316</v>
      </c>
      <c r="I9" s="4" t="s">
        <v>317</v>
      </c>
      <c r="J9" s="38" t="s">
        <v>318</v>
      </c>
      <c r="K9" s="36"/>
      <c r="L9" s="36"/>
      <c r="M9" s="37"/>
    </row>
    <row r="10" spans="1:13" ht="18" x14ac:dyDescent="0.25">
      <c r="A10" s="6">
        <v>1</v>
      </c>
      <c r="B10" s="7" t="s">
        <v>319</v>
      </c>
      <c r="C10" s="6" t="s">
        <v>320</v>
      </c>
      <c r="D10" s="23">
        <v>0.95</v>
      </c>
      <c r="E10" s="23">
        <v>0.6</v>
      </c>
      <c r="F10" s="24">
        <v>25</v>
      </c>
      <c r="H10" s="6" t="s">
        <v>321</v>
      </c>
      <c r="I10" s="24">
        <v>85</v>
      </c>
      <c r="J10" s="35" t="s">
        <v>322</v>
      </c>
      <c r="K10" s="36"/>
      <c r="L10" s="36"/>
      <c r="M10" s="37"/>
    </row>
    <row r="11" spans="1:13" ht="18" x14ac:dyDescent="0.25">
      <c r="A11" s="6">
        <v>2</v>
      </c>
      <c r="B11" s="7" t="s">
        <v>323</v>
      </c>
      <c r="C11" s="6" t="s">
        <v>324</v>
      </c>
      <c r="D11" s="24">
        <v>0</v>
      </c>
      <c r="E11" s="24">
        <v>5</v>
      </c>
      <c r="F11" s="24">
        <v>15</v>
      </c>
      <c r="H11" s="6" t="s">
        <v>325</v>
      </c>
      <c r="I11" s="24">
        <v>70</v>
      </c>
      <c r="J11" s="35" t="s">
        <v>326</v>
      </c>
      <c r="K11" s="36"/>
      <c r="L11" s="36"/>
      <c r="M11" s="37"/>
    </row>
    <row r="12" spans="1:13" ht="18" x14ac:dyDescent="0.25">
      <c r="A12" s="6">
        <v>3</v>
      </c>
      <c r="B12" s="7" t="s">
        <v>327</v>
      </c>
      <c r="C12" s="6" t="s">
        <v>328</v>
      </c>
      <c r="D12" s="24">
        <v>7</v>
      </c>
      <c r="E12" s="24">
        <v>30</v>
      </c>
      <c r="F12" s="24">
        <v>10</v>
      </c>
      <c r="H12" s="6" t="s">
        <v>329</v>
      </c>
      <c r="I12" s="24">
        <v>55</v>
      </c>
      <c r="J12" s="35" t="s">
        <v>330</v>
      </c>
      <c r="K12" s="36"/>
      <c r="L12" s="36"/>
      <c r="M12" s="37"/>
    </row>
    <row r="13" spans="1:13" ht="18" x14ac:dyDescent="0.25">
      <c r="A13" s="6">
        <v>4</v>
      </c>
      <c r="B13" s="7" t="s">
        <v>331</v>
      </c>
      <c r="C13" s="6" t="s">
        <v>332</v>
      </c>
      <c r="D13" s="25">
        <v>0</v>
      </c>
      <c r="E13" s="25">
        <v>-0.1</v>
      </c>
      <c r="F13" s="24">
        <v>20</v>
      </c>
      <c r="H13" s="6" t="s">
        <v>333</v>
      </c>
      <c r="I13" s="21">
        <v>0</v>
      </c>
      <c r="J13" s="35" t="s">
        <v>334</v>
      </c>
      <c r="K13" s="36"/>
      <c r="L13" s="36"/>
      <c r="M13" s="37"/>
    </row>
    <row r="14" spans="1:13" ht="18" x14ac:dyDescent="0.25">
      <c r="A14" s="6">
        <v>5</v>
      </c>
      <c r="B14" s="7" t="s">
        <v>335</v>
      </c>
      <c r="C14" s="6" t="s">
        <v>324</v>
      </c>
      <c r="D14" s="24">
        <v>0</v>
      </c>
      <c r="E14" s="24">
        <v>3</v>
      </c>
      <c r="F14" s="24">
        <v>15</v>
      </c>
    </row>
    <row r="15" spans="1:13" ht="18" x14ac:dyDescent="0.25">
      <c r="A15" s="6">
        <v>6</v>
      </c>
      <c r="B15" s="7" t="s">
        <v>336</v>
      </c>
      <c r="C15" s="6" t="s">
        <v>320</v>
      </c>
      <c r="D15" s="23">
        <v>1</v>
      </c>
      <c r="E15" s="23">
        <v>0.7</v>
      </c>
      <c r="F15" s="24">
        <v>10</v>
      </c>
    </row>
    <row r="16" spans="1:13" ht="18" x14ac:dyDescent="0.25">
      <c r="A16" s="6">
        <v>7</v>
      </c>
      <c r="B16" s="7" t="s">
        <v>337</v>
      </c>
      <c r="C16" s="6" t="s">
        <v>338</v>
      </c>
      <c r="D16" s="24">
        <v>5</v>
      </c>
      <c r="E16" s="24">
        <v>1</v>
      </c>
      <c r="F16" s="24">
        <v>5</v>
      </c>
    </row>
    <row r="17" spans="1:29" ht="36" x14ac:dyDescent="0.25">
      <c r="E17" s="13" t="s">
        <v>339</v>
      </c>
      <c r="F17" s="21">
        <f>SUM(F10:F16)</f>
        <v>100</v>
      </c>
      <c r="G17" s="6" t="str">
        <f>IF(F17=100,"سليم","راجع الأوزان")</f>
        <v>سليم</v>
      </c>
    </row>
    <row r="19" spans="1:29" ht="20.399999999999999" x14ac:dyDescent="0.6">
      <c r="A19" s="26" t="s">
        <v>340</v>
      </c>
    </row>
    <row r="20" spans="1:29" ht="46.05" customHeight="1" x14ac:dyDescent="0.25">
      <c r="A20" s="4" t="s">
        <v>341</v>
      </c>
      <c r="B20" s="4" t="s">
        <v>342</v>
      </c>
      <c r="C20" s="4" t="s">
        <v>343</v>
      </c>
      <c r="D20" s="4" t="s">
        <v>344</v>
      </c>
      <c r="E20" s="4" t="s">
        <v>345</v>
      </c>
      <c r="F20" s="4" t="s">
        <v>346</v>
      </c>
      <c r="G20" s="4" t="s">
        <v>347</v>
      </c>
      <c r="H20" s="4" t="s">
        <v>348</v>
      </c>
      <c r="I20" s="4" t="s">
        <v>349</v>
      </c>
      <c r="J20" s="4" t="s">
        <v>350</v>
      </c>
      <c r="K20" s="4" t="s">
        <v>351</v>
      </c>
      <c r="L20" s="4" t="s">
        <v>352</v>
      </c>
      <c r="M20" s="4" t="s">
        <v>353</v>
      </c>
      <c r="N20" s="4" t="s">
        <v>354</v>
      </c>
      <c r="O20" s="4" t="s">
        <v>355</v>
      </c>
      <c r="P20" s="4" t="s">
        <v>356</v>
      </c>
      <c r="Q20" s="4" t="s">
        <v>357</v>
      </c>
      <c r="R20" s="4" t="s">
        <v>358</v>
      </c>
      <c r="S20" s="4" t="s">
        <v>359</v>
      </c>
      <c r="T20" s="4" t="s">
        <v>360</v>
      </c>
      <c r="U20" s="4" t="s">
        <v>361</v>
      </c>
      <c r="V20" s="4" t="s">
        <v>362</v>
      </c>
      <c r="W20" s="4" t="s">
        <v>363</v>
      </c>
      <c r="X20" s="4" t="s">
        <v>364</v>
      </c>
      <c r="Y20" s="4" t="s">
        <v>365</v>
      </c>
      <c r="Z20" s="4" t="s">
        <v>316</v>
      </c>
      <c r="AA20" s="4" t="s">
        <v>366</v>
      </c>
      <c r="AB20" s="4" t="s">
        <v>367</v>
      </c>
      <c r="AC20" s="4" t="s">
        <v>368</v>
      </c>
    </row>
    <row r="21" spans="1:29" ht="18" x14ac:dyDescent="0.25">
      <c r="A21" s="6">
        <v>1</v>
      </c>
      <c r="B21" s="27">
        <f t="shared" ref="B21:B32" si="0">EDATE($C$7,A21-1)</f>
        <v>46296</v>
      </c>
      <c r="C21" s="24"/>
      <c r="D21" s="24"/>
      <c r="E21" s="24"/>
      <c r="F21" s="24"/>
      <c r="G21" s="24"/>
      <c r="H21" s="23"/>
      <c r="I21" s="23"/>
      <c r="J21" s="24"/>
      <c r="K21" s="24"/>
      <c r="L21" s="24"/>
      <c r="M21" s="24"/>
      <c r="N21" s="22" t="str">
        <f t="shared" ref="N21:N32" si="1">IF(COUNT(C21:M21)=11,IF(C21=0,1,D21/C21),"")</f>
        <v/>
      </c>
      <c r="O21" s="20" t="str">
        <f t="shared" ref="O21:O32" si="2">IF(COUNT(C21:M21)=11,I21-H21,"")</f>
        <v/>
      </c>
      <c r="P21" s="22" t="str">
        <f t="shared" ref="P21:P32" si="3">IF(COUNT(C21:M21)=11,IF(K21=0,1,L21/K21),"")</f>
        <v/>
      </c>
      <c r="Q21" s="21" t="str">
        <f>IF(COUNT(C21:M21)=11,SUM($E$21:E21)-SUM($F$21:F21),"")</f>
        <v/>
      </c>
      <c r="R21" s="21" t="str">
        <f t="shared" ref="R21:R32" si="4">IF(COUNT(C21:M21)=11,MAX(0,MIN(100,(N21-$E$10)/($D$10-$E$10)*100)),"")</f>
        <v/>
      </c>
      <c r="S21" s="21" t="str">
        <f t="shared" ref="S21:S32" si="5">IF(COUNT(C21:M21)=11,MAX(0,MIN(100,(E21-$E$11)/($D$11-$E$11)*100)),"")</f>
        <v/>
      </c>
      <c r="T21" s="21" t="str">
        <f t="shared" ref="T21:T32" si="6">IF(COUNT(C21:M21)=11,MAX(0,MIN(100,(G21-$E$12)/($D$12-$E$12)*100)),"")</f>
        <v/>
      </c>
      <c r="U21" s="21" t="str">
        <f t="shared" ref="U21:U32" si="7">IF(COUNT(C21:M21)=11,MAX(0,MIN(100,(O21-$E$13)/($D$13-$E$13)*100)),"")</f>
        <v/>
      </c>
      <c r="V21" s="21" t="str">
        <f t="shared" ref="V21:V32" si="8">IF(COUNT(C21:M21)=11,MAX(0,MIN(100,(J21-$E$14)/($D$14-$E$14)*100)),"")</f>
        <v/>
      </c>
      <c r="W21" s="21" t="str">
        <f t="shared" ref="W21:W32" si="9">IF(COUNT(C21:M21)=11,MAX(0,MIN(100,(P21-$E$15)/($D$15-$E$15)*100)),"")</f>
        <v/>
      </c>
      <c r="X21" s="21" t="str">
        <f t="shared" ref="X21:X32" si="10">IF(COUNT(C21:M21)=11,MAX(0,MIN(100,(M21-$E$16)/($D$16-$E$16)*100)),"")</f>
        <v/>
      </c>
      <c r="Y21" s="28" t="str">
        <f t="shared" ref="Y21:Y32" si="11">IF(COUNT(C21:M21)=11,(R21*$F$10+S21*$F$11+T21*$F$12+U21*$F$13+V21*$F$14+W21*$F$15+X21*$F$16)/$F$17,"")</f>
        <v/>
      </c>
      <c r="Z21" s="6" t="str">
        <f t="shared" ref="Z21:Z32" si="12">IF(Y21="","",IF(Y21&gt;=$I$10,"A",IF(Y21&gt;=$I$11,"B",IF(Y21&gt;=$I$12,"C","D"))))</f>
        <v/>
      </c>
      <c r="AA21" s="6" t="str">
        <f>IF(Y21="","","البداية")</f>
        <v/>
      </c>
      <c r="AB21" s="28" t="str">
        <f>IF(Y21="","",AVERAGE($Y$21:Y21))</f>
        <v/>
      </c>
      <c r="AC21" s="28" t="str">
        <f>IF(Y21="","",AVERAGE(Y21:Y21))</f>
        <v/>
      </c>
    </row>
    <row r="22" spans="1:29" ht="18" x14ac:dyDescent="0.25">
      <c r="A22" s="11">
        <v>2</v>
      </c>
      <c r="B22" s="27">
        <f t="shared" si="0"/>
        <v>46327</v>
      </c>
      <c r="C22" s="24"/>
      <c r="D22" s="24"/>
      <c r="E22" s="24"/>
      <c r="F22" s="24"/>
      <c r="G22" s="24"/>
      <c r="H22" s="23"/>
      <c r="I22" s="23"/>
      <c r="J22" s="24"/>
      <c r="K22" s="24"/>
      <c r="L22" s="24"/>
      <c r="M22" s="24"/>
      <c r="N22" s="22" t="str">
        <f t="shared" si="1"/>
        <v/>
      </c>
      <c r="O22" s="20" t="str">
        <f t="shared" si="2"/>
        <v/>
      </c>
      <c r="P22" s="22" t="str">
        <f t="shared" si="3"/>
        <v/>
      </c>
      <c r="Q22" s="21" t="str">
        <f>IF(COUNT(C22:M22)=11,SUM($E$21:E22)-SUM($F$21:F22),"")</f>
        <v/>
      </c>
      <c r="R22" s="21" t="str">
        <f t="shared" si="4"/>
        <v/>
      </c>
      <c r="S22" s="21" t="str">
        <f t="shared" si="5"/>
        <v/>
      </c>
      <c r="T22" s="21" t="str">
        <f t="shared" si="6"/>
        <v/>
      </c>
      <c r="U22" s="21" t="str">
        <f t="shared" si="7"/>
        <v/>
      </c>
      <c r="V22" s="21" t="str">
        <f t="shared" si="8"/>
        <v/>
      </c>
      <c r="W22" s="21" t="str">
        <f t="shared" si="9"/>
        <v/>
      </c>
      <c r="X22" s="21" t="str">
        <f t="shared" si="10"/>
        <v/>
      </c>
      <c r="Y22" s="28" t="str">
        <f t="shared" si="11"/>
        <v/>
      </c>
      <c r="Z22" s="6" t="str">
        <f t="shared" si="12"/>
        <v/>
      </c>
      <c r="AA22" s="6" t="str">
        <f t="shared" ref="AA22:AA32" si="13">IF(OR(Y22="",Y21=""),"",IF(Y22&gt;Y21+2,"تحسن",IF(Y22&lt;Y21-2,"تراجع","ثابت")))</f>
        <v/>
      </c>
      <c r="AB22" s="28" t="str">
        <f>IF(Y22="","",AVERAGE($Y$21:Y22))</f>
        <v/>
      </c>
      <c r="AC22" s="28" t="str">
        <f>IF(Y22="","",AVERAGE(Y21:Y22))</f>
        <v/>
      </c>
    </row>
    <row r="23" spans="1:29" ht="18" x14ac:dyDescent="0.25">
      <c r="A23" s="6">
        <v>3</v>
      </c>
      <c r="B23" s="27">
        <f t="shared" si="0"/>
        <v>46357</v>
      </c>
      <c r="C23" s="24"/>
      <c r="D23" s="24"/>
      <c r="E23" s="24"/>
      <c r="F23" s="24"/>
      <c r="G23" s="24"/>
      <c r="H23" s="23"/>
      <c r="I23" s="23"/>
      <c r="J23" s="24"/>
      <c r="K23" s="24"/>
      <c r="L23" s="24"/>
      <c r="M23" s="24"/>
      <c r="N23" s="22" t="str">
        <f t="shared" si="1"/>
        <v/>
      </c>
      <c r="O23" s="20" t="str">
        <f t="shared" si="2"/>
        <v/>
      </c>
      <c r="P23" s="22" t="str">
        <f t="shared" si="3"/>
        <v/>
      </c>
      <c r="Q23" s="21" t="str">
        <f>IF(COUNT(C23:M23)=11,SUM($E$21:E23)-SUM($F$21:F23),"")</f>
        <v/>
      </c>
      <c r="R23" s="21" t="str">
        <f t="shared" si="4"/>
        <v/>
      </c>
      <c r="S23" s="21" t="str">
        <f t="shared" si="5"/>
        <v/>
      </c>
      <c r="T23" s="21" t="str">
        <f t="shared" si="6"/>
        <v/>
      </c>
      <c r="U23" s="21" t="str">
        <f t="shared" si="7"/>
        <v/>
      </c>
      <c r="V23" s="21" t="str">
        <f t="shared" si="8"/>
        <v/>
      </c>
      <c r="W23" s="21" t="str">
        <f t="shared" si="9"/>
        <v/>
      </c>
      <c r="X23" s="21" t="str">
        <f t="shared" si="10"/>
        <v/>
      </c>
      <c r="Y23" s="28" t="str">
        <f t="shared" si="11"/>
        <v/>
      </c>
      <c r="Z23" s="6" t="str">
        <f t="shared" si="12"/>
        <v/>
      </c>
      <c r="AA23" s="6" t="str">
        <f t="shared" si="13"/>
        <v/>
      </c>
      <c r="AB23" s="28" t="str">
        <f>IF(Y23="","",AVERAGE($Y$21:Y23))</f>
        <v/>
      </c>
      <c r="AC23" s="28" t="str">
        <f t="shared" ref="AC23:AC32" si="14">IF(Y23="","",AVERAGE(Y21:Y23))</f>
        <v/>
      </c>
    </row>
    <row r="24" spans="1:29" ht="18" x14ac:dyDescent="0.25">
      <c r="A24" s="11">
        <v>4</v>
      </c>
      <c r="B24" s="27">
        <f t="shared" si="0"/>
        <v>46388</v>
      </c>
      <c r="C24" s="24"/>
      <c r="D24" s="24"/>
      <c r="E24" s="24"/>
      <c r="F24" s="24"/>
      <c r="G24" s="24"/>
      <c r="H24" s="23"/>
      <c r="I24" s="23"/>
      <c r="J24" s="24"/>
      <c r="K24" s="24"/>
      <c r="L24" s="24"/>
      <c r="M24" s="24"/>
      <c r="N24" s="22" t="str">
        <f t="shared" si="1"/>
        <v/>
      </c>
      <c r="O24" s="20" t="str">
        <f t="shared" si="2"/>
        <v/>
      </c>
      <c r="P24" s="22" t="str">
        <f t="shared" si="3"/>
        <v/>
      </c>
      <c r="Q24" s="21" t="str">
        <f>IF(COUNT(C24:M24)=11,SUM($E$21:E24)-SUM($F$21:F24),"")</f>
        <v/>
      </c>
      <c r="R24" s="21" t="str">
        <f t="shared" si="4"/>
        <v/>
      </c>
      <c r="S24" s="21" t="str">
        <f t="shared" si="5"/>
        <v/>
      </c>
      <c r="T24" s="21" t="str">
        <f t="shared" si="6"/>
        <v/>
      </c>
      <c r="U24" s="21" t="str">
        <f t="shared" si="7"/>
        <v/>
      </c>
      <c r="V24" s="21" t="str">
        <f t="shared" si="8"/>
        <v/>
      </c>
      <c r="W24" s="21" t="str">
        <f t="shared" si="9"/>
        <v/>
      </c>
      <c r="X24" s="21" t="str">
        <f t="shared" si="10"/>
        <v/>
      </c>
      <c r="Y24" s="28" t="str">
        <f t="shared" si="11"/>
        <v/>
      </c>
      <c r="Z24" s="6" t="str">
        <f t="shared" si="12"/>
        <v/>
      </c>
      <c r="AA24" s="6" t="str">
        <f t="shared" si="13"/>
        <v/>
      </c>
      <c r="AB24" s="28" t="str">
        <f>IF(Y24="","",AVERAGE($Y$21:Y24))</f>
        <v/>
      </c>
      <c r="AC24" s="28" t="str">
        <f t="shared" si="14"/>
        <v/>
      </c>
    </row>
    <row r="25" spans="1:29" ht="18" x14ac:dyDescent="0.25">
      <c r="A25" s="6">
        <v>5</v>
      </c>
      <c r="B25" s="27">
        <f t="shared" si="0"/>
        <v>46419</v>
      </c>
      <c r="C25" s="24"/>
      <c r="D25" s="24"/>
      <c r="E25" s="24"/>
      <c r="F25" s="24"/>
      <c r="G25" s="24"/>
      <c r="H25" s="23"/>
      <c r="I25" s="23"/>
      <c r="J25" s="24"/>
      <c r="K25" s="24"/>
      <c r="L25" s="24"/>
      <c r="M25" s="24"/>
      <c r="N25" s="22" t="str">
        <f t="shared" si="1"/>
        <v/>
      </c>
      <c r="O25" s="20" t="str">
        <f t="shared" si="2"/>
        <v/>
      </c>
      <c r="P25" s="22" t="str">
        <f t="shared" si="3"/>
        <v/>
      </c>
      <c r="Q25" s="21" t="str">
        <f>IF(COUNT(C25:M25)=11,SUM($E$21:E25)-SUM($F$21:F25),"")</f>
        <v/>
      </c>
      <c r="R25" s="21" t="str">
        <f t="shared" si="4"/>
        <v/>
      </c>
      <c r="S25" s="21" t="str">
        <f t="shared" si="5"/>
        <v/>
      </c>
      <c r="T25" s="21" t="str">
        <f t="shared" si="6"/>
        <v/>
      </c>
      <c r="U25" s="21" t="str">
        <f t="shared" si="7"/>
        <v/>
      </c>
      <c r="V25" s="21" t="str">
        <f t="shared" si="8"/>
        <v/>
      </c>
      <c r="W25" s="21" t="str">
        <f t="shared" si="9"/>
        <v/>
      </c>
      <c r="X25" s="21" t="str">
        <f t="shared" si="10"/>
        <v/>
      </c>
      <c r="Y25" s="28" t="str">
        <f t="shared" si="11"/>
        <v/>
      </c>
      <c r="Z25" s="6" t="str">
        <f t="shared" si="12"/>
        <v/>
      </c>
      <c r="AA25" s="6" t="str">
        <f t="shared" si="13"/>
        <v/>
      </c>
      <c r="AB25" s="28" t="str">
        <f>IF(Y25="","",AVERAGE($Y$21:Y25))</f>
        <v/>
      </c>
      <c r="AC25" s="28" t="str">
        <f t="shared" si="14"/>
        <v/>
      </c>
    </row>
    <row r="26" spans="1:29" ht="18" x14ac:dyDescent="0.25">
      <c r="A26" s="11">
        <v>6</v>
      </c>
      <c r="B26" s="27">
        <f t="shared" si="0"/>
        <v>46447</v>
      </c>
      <c r="C26" s="24"/>
      <c r="D26" s="24"/>
      <c r="E26" s="24"/>
      <c r="F26" s="24"/>
      <c r="G26" s="24"/>
      <c r="H26" s="23"/>
      <c r="I26" s="23"/>
      <c r="J26" s="24"/>
      <c r="K26" s="24"/>
      <c r="L26" s="24"/>
      <c r="M26" s="24"/>
      <c r="N26" s="22" t="str">
        <f t="shared" si="1"/>
        <v/>
      </c>
      <c r="O26" s="20" t="str">
        <f t="shared" si="2"/>
        <v/>
      </c>
      <c r="P26" s="22" t="str">
        <f t="shared" si="3"/>
        <v/>
      </c>
      <c r="Q26" s="21" t="str">
        <f>IF(COUNT(C26:M26)=11,SUM($E$21:E26)-SUM($F$21:F26),"")</f>
        <v/>
      </c>
      <c r="R26" s="21" t="str">
        <f t="shared" si="4"/>
        <v/>
      </c>
      <c r="S26" s="21" t="str">
        <f t="shared" si="5"/>
        <v/>
      </c>
      <c r="T26" s="21" t="str">
        <f t="shared" si="6"/>
        <v/>
      </c>
      <c r="U26" s="21" t="str">
        <f t="shared" si="7"/>
        <v/>
      </c>
      <c r="V26" s="21" t="str">
        <f t="shared" si="8"/>
        <v/>
      </c>
      <c r="W26" s="21" t="str">
        <f t="shared" si="9"/>
        <v/>
      </c>
      <c r="X26" s="21" t="str">
        <f t="shared" si="10"/>
        <v/>
      </c>
      <c r="Y26" s="28" t="str">
        <f t="shared" si="11"/>
        <v/>
      </c>
      <c r="Z26" s="6" t="str">
        <f t="shared" si="12"/>
        <v/>
      </c>
      <c r="AA26" s="6" t="str">
        <f t="shared" si="13"/>
        <v/>
      </c>
      <c r="AB26" s="28" t="str">
        <f>IF(Y26="","",AVERAGE($Y$21:Y26))</f>
        <v/>
      </c>
      <c r="AC26" s="28" t="str">
        <f t="shared" si="14"/>
        <v/>
      </c>
    </row>
    <row r="27" spans="1:29" ht="18" x14ac:dyDescent="0.25">
      <c r="A27" s="6">
        <v>7</v>
      </c>
      <c r="B27" s="27">
        <f t="shared" si="0"/>
        <v>46478</v>
      </c>
      <c r="C27" s="24"/>
      <c r="D27" s="24"/>
      <c r="E27" s="24"/>
      <c r="F27" s="24"/>
      <c r="G27" s="24"/>
      <c r="H27" s="23"/>
      <c r="I27" s="23"/>
      <c r="J27" s="24"/>
      <c r="K27" s="24"/>
      <c r="L27" s="24"/>
      <c r="M27" s="24"/>
      <c r="N27" s="22" t="str">
        <f t="shared" si="1"/>
        <v/>
      </c>
      <c r="O27" s="20" t="str">
        <f t="shared" si="2"/>
        <v/>
      </c>
      <c r="P27" s="22" t="str">
        <f t="shared" si="3"/>
        <v/>
      </c>
      <c r="Q27" s="21" t="str">
        <f>IF(COUNT(C27:M27)=11,SUM($E$21:E27)-SUM($F$21:F27),"")</f>
        <v/>
      </c>
      <c r="R27" s="21" t="str">
        <f t="shared" si="4"/>
        <v/>
      </c>
      <c r="S27" s="21" t="str">
        <f t="shared" si="5"/>
        <v/>
      </c>
      <c r="T27" s="21" t="str">
        <f t="shared" si="6"/>
        <v/>
      </c>
      <c r="U27" s="21" t="str">
        <f t="shared" si="7"/>
        <v/>
      </c>
      <c r="V27" s="21" t="str">
        <f t="shared" si="8"/>
        <v/>
      </c>
      <c r="W27" s="21" t="str">
        <f t="shared" si="9"/>
        <v/>
      </c>
      <c r="X27" s="21" t="str">
        <f t="shared" si="10"/>
        <v/>
      </c>
      <c r="Y27" s="28" t="str">
        <f t="shared" si="11"/>
        <v/>
      </c>
      <c r="Z27" s="6" t="str">
        <f t="shared" si="12"/>
        <v/>
      </c>
      <c r="AA27" s="6" t="str">
        <f t="shared" si="13"/>
        <v/>
      </c>
      <c r="AB27" s="28" t="str">
        <f>IF(Y27="","",AVERAGE($Y$21:Y27))</f>
        <v/>
      </c>
      <c r="AC27" s="28" t="str">
        <f t="shared" si="14"/>
        <v/>
      </c>
    </row>
    <row r="28" spans="1:29" ht="18" x14ac:dyDescent="0.25">
      <c r="A28" s="11">
        <v>8</v>
      </c>
      <c r="B28" s="27">
        <f t="shared" si="0"/>
        <v>46508</v>
      </c>
      <c r="C28" s="24"/>
      <c r="D28" s="24"/>
      <c r="E28" s="24"/>
      <c r="F28" s="24"/>
      <c r="G28" s="24"/>
      <c r="H28" s="23"/>
      <c r="I28" s="23"/>
      <c r="J28" s="24"/>
      <c r="K28" s="24"/>
      <c r="L28" s="24"/>
      <c r="M28" s="24"/>
      <c r="N28" s="22" t="str">
        <f t="shared" si="1"/>
        <v/>
      </c>
      <c r="O28" s="20" t="str">
        <f t="shared" si="2"/>
        <v/>
      </c>
      <c r="P28" s="22" t="str">
        <f t="shared" si="3"/>
        <v/>
      </c>
      <c r="Q28" s="21" t="str">
        <f>IF(COUNT(C28:M28)=11,SUM($E$21:E28)-SUM($F$21:F28),"")</f>
        <v/>
      </c>
      <c r="R28" s="21" t="str">
        <f t="shared" si="4"/>
        <v/>
      </c>
      <c r="S28" s="21" t="str">
        <f t="shared" si="5"/>
        <v/>
      </c>
      <c r="T28" s="21" t="str">
        <f t="shared" si="6"/>
        <v/>
      </c>
      <c r="U28" s="21" t="str">
        <f t="shared" si="7"/>
        <v/>
      </c>
      <c r="V28" s="21" t="str">
        <f t="shared" si="8"/>
        <v/>
      </c>
      <c r="W28" s="21" t="str">
        <f t="shared" si="9"/>
        <v/>
      </c>
      <c r="X28" s="21" t="str">
        <f t="shared" si="10"/>
        <v/>
      </c>
      <c r="Y28" s="28" t="str">
        <f t="shared" si="11"/>
        <v/>
      </c>
      <c r="Z28" s="6" t="str">
        <f t="shared" si="12"/>
        <v/>
      </c>
      <c r="AA28" s="6" t="str">
        <f t="shared" si="13"/>
        <v/>
      </c>
      <c r="AB28" s="28" t="str">
        <f>IF(Y28="","",AVERAGE($Y$21:Y28))</f>
        <v/>
      </c>
      <c r="AC28" s="28" t="str">
        <f t="shared" si="14"/>
        <v/>
      </c>
    </row>
    <row r="29" spans="1:29" ht="18" x14ac:dyDescent="0.25">
      <c r="A29" s="6">
        <v>9</v>
      </c>
      <c r="B29" s="27">
        <f t="shared" si="0"/>
        <v>46539</v>
      </c>
      <c r="C29" s="24"/>
      <c r="D29" s="24"/>
      <c r="E29" s="24"/>
      <c r="F29" s="24"/>
      <c r="G29" s="24"/>
      <c r="H29" s="23"/>
      <c r="I29" s="23"/>
      <c r="J29" s="24"/>
      <c r="K29" s="24"/>
      <c r="L29" s="24"/>
      <c r="M29" s="24"/>
      <c r="N29" s="22" t="str">
        <f t="shared" si="1"/>
        <v/>
      </c>
      <c r="O29" s="20" t="str">
        <f t="shared" si="2"/>
        <v/>
      </c>
      <c r="P29" s="22" t="str">
        <f t="shared" si="3"/>
        <v/>
      </c>
      <c r="Q29" s="21" t="str">
        <f>IF(COUNT(C29:M29)=11,SUM($E$21:E29)-SUM($F$21:F29),"")</f>
        <v/>
      </c>
      <c r="R29" s="21" t="str">
        <f t="shared" si="4"/>
        <v/>
      </c>
      <c r="S29" s="21" t="str">
        <f t="shared" si="5"/>
        <v/>
      </c>
      <c r="T29" s="21" t="str">
        <f t="shared" si="6"/>
        <v/>
      </c>
      <c r="U29" s="21" t="str">
        <f t="shared" si="7"/>
        <v/>
      </c>
      <c r="V29" s="21" t="str">
        <f t="shared" si="8"/>
        <v/>
      </c>
      <c r="W29" s="21" t="str">
        <f t="shared" si="9"/>
        <v/>
      </c>
      <c r="X29" s="21" t="str">
        <f t="shared" si="10"/>
        <v/>
      </c>
      <c r="Y29" s="28" t="str">
        <f t="shared" si="11"/>
        <v/>
      </c>
      <c r="Z29" s="6" t="str">
        <f t="shared" si="12"/>
        <v/>
      </c>
      <c r="AA29" s="6" t="str">
        <f t="shared" si="13"/>
        <v/>
      </c>
      <c r="AB29" s="28" t="str">
        <f>IF(Y29="","",AVERAGE($Y$21:Y29))</f>
        <v/>
      </c>
      <c r="AC29" s="28" t="str">
        <f t="shared" si="14"/>
        <v/>
      </c>
    </row>
    <row r="30" spans="1:29" ht="18" x14ac:dyDescent="0.25">
      <c r="A30" s="11">
        <v>10</v>
      </c>
      <c r="B30" s="27">
        <f t="shared" si="0"/>
        <v>46569</v>
      </c>
      <c r="C30" s="24"/>
      <c r="D30" s="24"/>
      <c r="E30" s="24"/>
      <c r="F30" s="24"/>
      <c r="G30" s="24"/>
      <c r="H30" s="23"/>
      <c r="I30" s="23"/>
      <c r="J30" s="24"/>
      <c r="K30" s="24"/>
      <c r="L30" s="24"/>
      <c r="M30" s="24"/>
      <c r="N30" s="22" t="str">
        <f t="shared" si="1"/>
        <v/>
      </c>
      <c r="O30" s="20" t="str">
        <f t="shared" si="2"/>
        <v/>
      </c>
      <c r="P30" s="22" t="str">
        <f t="shared" si="3"/>
        <v/>
      </c>
      <c r="Q30" s="21" t="str">
        <f>IF(COUNT(C30:M30)=11,SUM($E$21:E30)-SUM($F$21:F30),"")</f>
        <v/>
      </c>
      <c r="R30" s="21" t="str">
        <f t="shared" si="4"/>
        <v/>
      </c>
      <c r="S30" s="21" t="str">
        <f t="shared" si="5"/>
        <v/>
      </c>
      <c r="T30" s="21" t="str">
        <f t="shared" si="6"/>
        <v/>
      </c>
      <c r="U30" s="21" t="str">
        <f t="shared" si="7"/>
        <v/>
      </c>
      <c r="V30" s="21" t="str">
        <f t="shared" si="8"/>
        <v/>
      </c>
      <c r="W30" s="21" t="str">
        <f t="shared" si="9"/>
        <v/>
      </c>
      <c r="X30" s="21" t="str">
        <f t="shared" si="10"/>
        <v/>
      </c>
      <c r="Y30" s="28" t="str">
        <f t="shared" si="11"/>
        <v/>
      </c>
      <c r="Z30" s="6" t="str">
        <f t="shared" si="12"/>
        <v/>
      </c>
      <c r="AA30" s="6" t="str">
        <f t="shared" si="13"/>
        <v/>
      </c>
      <c r="AB30" s="28" t="str">
        <f>IF(Y30="","",AVERAGE($Y$21:Y30))</f>
        <v/>
      </c>
      <c r="AC30" s="28" t="str">
        <f t="shared" si="14"/>
        <v/>
      </c>
    </row>
    <row r="31" spans="1:29" ht="18" x14ac:dyDescent="0.25">
      <c r="A31" s="6">
        <v>11</v>
      </c>
      <c r="B31" s="27">
        <f t="shared" si="0"/>
        <v>46600</v>
      </c>
      <c r="C31" s="24"/>
      <c r="D31" s="24"/>
      <c r="E31" s="24"/>
      <c r="F31" s="24"/>
      <c r="G31" s="24"/>
      <c r="H31" s="23"/>
      <c r="I31" s="23"/>
      <c r="J31" s="24"/>
      <c r="K31" s="24"/>
      <c r="L31" s="24"/>
      <c r="M31" s="24"/>
      <c r="N31" s="22" t="str">
        <f t="shared" si="1"/>
        <v/>
      </c>
      <c r="O31" s="20" t="str">
        <f t="shared" si="2"/>
        <v/>
      </c>
      <c r="P31" s="22" t="str">
        <f t="shared" si="3"/>
        <v/>
      </c>
      <c r="Q31" s="21" t="str">
        <f>IF(COUNT(C31:M31)=11,SUM($E$21:E31)-SUM($F$21:F31),"")</f>
        <v/>
      </c>
      <c r="R31" s="21" t="str">
        <f t="shared" si="4"/>
        <v/>
      </c>
      <c r="S31" s="21" t="str">
        <f t="shared" si="5"/>
        <v/>
      </c>
      <c r="T31" s="21" t="str">
        <f t="shared" si="6"/>
        <v/>
      </c>
      <c r="U31" s="21" t="str">
        <f t="shared" si="7"/>
        <v/>
      </c>
      <c r="V31" s="21" t="str">
        <f t="shared" si="8"/>
        <v/>
      </c>
      <c r="W31" s="21" t="str">
        <f t="shared" si="9"/>
        <v/>
      </c>
      <c r="X31" s="21" t="str">
        <f t="shared" si="10"/>
        <v/>
      </c>
      <c r="Y31" s="28" t="str">
        <f t="shared" si="11"/>
        <v/>
      </c>
      <c r="Z31" s="6" t="str">
        <f t="shared" si="12"/>
        <v/>
      </c>
      <c r="AA31" s="6" t="str">
        <f t="shared" si="13"/>
        <v/>
      </c>
      <c r="AB31" s="28" t="str">
        <f>IF(Y31="","",AVERAGE($Y$21:Y31))</f>
        <v/>
      </c>
      <c r="AC31" s="28" t="str">
        <f t="shared" si="14"/>
        <v/>
      </c>
    </row>
    <row r="32" spans="1:29" ht="18" x14ac:dyDescent="0.25">
      <c r="A32" s="11">
        <v>12</v>
      </c>
      <c r="B32" s="27">
        <f t="shared" si="0"/>
        <v>46631</v>
      </c>
      <c r="C32" s="24"/>
      <c r="D32" s="24"/>
      <c r="E32" s="24"/>
      <c r="F32" s="24"/>
      <c r="G32" s="24"/>
      <c r="H32" s="23"/>
      <c r="I32" s="23"/>
      <c r="J32" s="24"/>
      <c r="K32" s="24"/>
      <c r="L32" s="24"/>
      <c r="M32" s="24"/>
      <c r="N32" s="22" t="str">
        <f t="shared" si="1"/>
        <v/>
      </c>
      <c r="O32" s="20" t="str">
        <f t="shared" si="2"/>
        <v/>
      </c>
      <c r="P32" s="22" t="str">
        <f t="shared" si="3"/>
        <v/>
      </c>
      <c r="Q32" s="21" t="str">
        <f>IF(COUNT(C32:M32)=11,SUM($E$21:E32)-SUM($F$21:F32),"")</f>
        <v/>
      </c>
      <c r="R32" s="21" t="str">
        <f t="shared" si="4"/>
        <v/>
      </c>
      <c r="S32" s="21" t="str">
        <f t="shared" si="5"/>
        <v/>
      </c>
      <c r="T32" s="21" t="str">
        <f t="shared" si="6"/>
        <v/>
      </c>
      <c r="U32" s="21" t="str">
        <f t="shared" si="7"/>
        <v/>
      </c>
      <c r="V32" s="21" t="str">
        <f t="shared" si="8"/>
        <v/>
      </c>
      <c r="W32" s="21" t="str">
        <f t="shared" si="9"/>
        <v/>
      </c>
      <c r="X32" s="21" t="str">
        <f t="shared" si="10"/>
        <v/>
      </c>
      <c r="Y32" s="28" t="str">
        <f t="shared" si="11"/>
        <v/>
      </c>
      <c r="Z32" s="6" t="str">
        <f t="shared" si="12"/>
        <v/>
      </c>
      <c r="AA32" s="6" t="str">
        <f t="shared" si="13"/>
        <v/>
      </c>
      <c r="AB32" s="28" t="str">
        <f>IF(Y32="","",AVERAGE($Y$21:Y32))</f>
        <v/>
      </c>
      <c r="AC32" s="28" t="str">
        <f t="shared" si="14"/>
        <v/>
      </c>
    </row>
    <row r="34" spans="1:3" ht="18" x14ac:dyDescent="0.25">
      <c r="A34" s="40" t="s">
        <v>369</v>
      </c>
      <c r="B34" s="37"/>
      <c r="C34" s="21">
        <f>COUNT(Y21:Y32)</f>
        <v>0</v>
      </c>
    </row>
    <row r="35" spans="1:3" ht="18" x14ac:dyDescent="0.25">
      <c r="A35" s="40" t="s">
        <v>370</v>
      </c>
      <c r="B35" s="37"/>
      <c r="C35" s="28" t="str">
        <f>IF(C34=0,"",LOOKUP(2,1/ISNUMBER(Y21:Y32),Y21:Y32))</f>
        <v/>
      </c>
    </row>
    <row r="36" spans="1:3" ht="18" x14ac:dyDescent="0.25">
      <c r="A36" s="40" t="s">
        <v>371</v>
      </c>
      <c r="B36" s="37"/>
      <c r="C36" s="6" t="str">
        <f>IF(C34=0,"",LOOKUP(2,1/ISNUMBER(Y21:Y32),Z21:Z32))</f>
        <v/>
      </c>
    </row>
    <row r="37" spans="1:3" ht="18" x14ac:dyDescent="0.25">
      <c r="A37" s="40" t="s">
        <v>372</v>
      </c>
      <c r="B37" s="37"/>
      <c r="C37" s="28" t="str">
        <f>IF(C34=0,"",AVERAGE(Y21:Y32))</f>
        <v/>
      </c>
    </row>
    <row r="38" spans="1:3" ht="18" x14ac:dyDescent="0.25">
      <c r="A38" s="40" t="s">
        <v>373</v>
      </c>
      <c r="B38" s="37"/>
      <c r="C38" s="6" t="str">
        <f>IF(C37="","",IF(C37&gt;=$I$10,"A",IF(C37&gt;=$I$11,"B",IF(C37&gt;=$I$12,"C","D"))))</f>
        <v/>
      </c>
    </row>
    <row r="39" spans="1:3" ht="18" x14ac:dyDescent="0.25">
      <c r="A39" s="40" t="s">
        <v>374</v>
      </c>
      <c r="B39" s="37"/>
      <c r="C39" s="6" t="str">
        <f>IF(C34=0,"",TEXT(MAX(Y21:Y32),"0.0")&amp;" / "&amp;TEXT(MIN(Y21:Y32),"0.0"))</f>
        <v/>
      </c>
    </row>
    <row r="40" spans="1:3" ht="18" x14ac:dyDescent="0.25">
      <c r="A40" s="40" t="s">
        <v>375</v>
      </c>
      <c r="B40" s="37"/>
      <c r="C40" s="21">
        <f>SUM(J21:J32)</f>
        <v>0</v>
      </c>
    </row>
    <row r="41" spans="1:3" ht="18" x14ac:dyDescent="0.25">
      <c r="A41" s="40" t="s">
        <v>376</v>
      </c>
      <c r="B41" s="37"/>
      <c r="C41" s="21">
        <f>SUM(E21:E32)-SUM(F21:F32)</f>
        <v>0</v>
      </c>
    </row>
  </sheetData>
  <mergeCells count="21">
    <mergeCell ref="A5:B5"/>
    <mergeCell ref="C6:E6"/>
    <mergeCell ref="A35:B35"/>
    <mergeCell ref="A4:B4"/>
    <mergeCell ref="A38:B38"/>
    <mergeCell ref="C5:E5"/>
    <mergeCell ref="C4:E4"/>
    <mergeCell ref="A34:B34"/>
    <mergeCell ref="J12:M12"/>
    <mergeCell ref="A36:B36"/>
    <mergeCell ref="A6:B6"/>
    <mergeCell ref="A7:B7"/>
    <mergeCell ref="A41:B41"/>
    <mergeCell ref="A37:B37"/>
    <mergeCell ref="C7:E7"/>
    <mergeCell ref="J10:M10"/>
    <mergeCell ref="J13:M13"/>
    <mergeCell ref="J9:M9"/>
    <mergeCell ref="J11:M11"/>
    <mergeCell ref="A40:B40"/>
    <mergeCell ref="A39:B39"/>
  </mergeCells>
  <conditionalFormatting sqref="D21:D32">
    <cfRule type="expression" dxfId="8" priority="5">
      <formula>AND(ISNUMBER(D21),D21&gt;C21)</formula>
    </cfRule>
  </conditionalFormatting>
  <conditionalFormatting sqref="F21:F32">
    <cfRule type="expression" dxfId="7" priority="6">
      <formula>AND(ISNUMBER(F21),SUM($F$21:F21)&gt;SUM($E$21:E21))</formula>
    </cfRule>
  </conditionalFormatting>
  <conditionalFormatting sqref="Z21:Z32">
    <cfRule type="cellIs" dxfId="6" priority="1" operator="equal">
      <formula>"A"</formula>
    </cfRule>
    <cfRule type="cellIs" dxfId="5" priority="2" operator="equal">
      <formula>"B"</formula>
    </cfRule>
    <cfRule type="cellIs" dxfId="4" priority="3" operator="equal">
      <formula>"C"</formula>
    </cfRule>
    <cfRule type="cellIs" dxfId="3" priority="4" operator="equal">
      <formula>"D"</formula>
    </cfRule>
  </conditionalFormatting>
  <dataValidations count="3">
    <dataValidation type="list" allowBlank="1" sqref="M21:M32" xr:uid="{00000000-0002-0000-0200-000001000000}">
      <formula1>"0,1,2,3,4,5"</formula1>
    </dataValidation>
    <dataValidation type="whole" operator="greaterThanOrEqual" allowBlank="1" sqref="C21:G32 J21:L32" xr:uid="{00000000-0002-0000-0200-000002000000}">
      <formula1>0</formula1>
    </dataValidation>
    <dataValidation type="decimal" allowBlank="1" sqref="H21:I32" xr:uid="{00000000-0002-0000-0200-000003000000}">
      <formula1>0</formula1>
      <formula2>1</formula2>
    </dataValidation>
  </dataValidations>
  <printOptions horizontalCentered="1"/>
  <pageMargins left="0.75" right="0.75" top="1" bottom="1" header="0.5" footer="0.5"/>
  <pageSetup paperSize="9" scale="36" fitToHeight="0" orientation="landscape" r:id="rId1"/>
  <headerFooter>
    <oddFooter>&amp;Lالمبدعون العرب للاستشارات الهندسية ACE&amp;Cصفحة &amp;P من &amp;N&amp;R&amp;A</oddFooter>
  </headerFooter>
  <drawing r:id="rId2"/>
  <extLst>
    <ext xmlns:x14="http://schemas.microsoft.com/office/spreadsheetml/2009/9/main" uri="{CCE6A557-97BC-4b89-ADB6-D9C93CAAB3DF}">
      <x14:dataValidations xmlns:xm="http://schemas.microsoft.com/office/excel/2006/main" count="1">
        <x14:dataValidation type="list" xr:uid="{00000000-0002-0000-0200-000000000000}">
          <x14:formula1>
            <xm:f>Criteria!$J$11:$N$11</xm:f>
          </x14:formula1>
          <xm:sqref>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633FF"/>
    <pageSetUpPr fitToPage="1"/>
  </sheetPr>
  <dimension ref="A1:L48"/>
  <sheetViews>
    <sheetView rightToLeft="1" zoomScale="85" workbookViewId="0">
      <pane ySplit="3" topLeftCell="A4" activePane="bottomLeft" state="frozen"/>
      <selection pane="bottomLeft"/>
    </sheetView>
  </sheetViews>
  <sheetFormatPr defaultRowHeight="13.8" x14ac:dyDescent="0.25"/>
  <cols>
    <col min="1" max="1" width="20" customWidth="1"/>
    <col min="2" max="2" width="24" customWidth="1"/>
    <col min="3" max="3" width="12" customWidth="1"/>
    <col min="4" max="4" width="28" customWidth="1"/>
    <col min="5" max="6" width="12" customWidth="1"/>
    <col min="7" max="7" width="14" customWidth="1"/>
    <col min="8" max="8" width="10" customWidth="1"/>
    <col min="9" max="9" width="30" customWidth="1"/>
    <col min="10" max="10" width="16" customWidth="1"/>
    <col min="11" max="11" width="26" customWidth="1"/>
    <col min="12" max="12" width="18" customWidth="1"/>
  </cols>
  <sheetData>
    <row r="1" spans="1:12" ht="25.8" x14ac:dyDescent="0.75">
      <c r="A1" s="1" t="s">
        <v>377</v>
      </c>
    </row>
    <row r="2" spans="1:12" ht="16.8" x14ac:dyDescent="0.5">
      <c r="A2" s="2" t="s">
        <v>378</v>
      </c>
    </row>
    <row r="3" spans="1:12" ht="18" x14ac:dyDescent="0.25">
      <c r="K3" s="4" t="s">
        <v>379</v>
      </c>
      <c r="L3" s="4" t="s">
        <v>380</v>
      </c>
    </row>
    <row r="4" spans="1:12" ht="18" x14ac:dyDescent="0.25">
      <c r="A4" s="13" t="s">
        <v>273</v>
      </c>
      <c r="B4" s="18" t="str">
        <f>Prequal_Scoring!D4</f>
        <v>اسم المشروع</v>
      </c>
      <c r="K4" s="15" t="s">
        <v>381</v>
      </c>
      <c r="L4" s="17" t="str">
        <f>Performance_Evaluation!C4</f>
        <v>اسم المقاول</v>
      </c>
    </row>
    <row r="5" spans="1:12" ht="18" x14ac:dyDescent="0.25">
      <c r="A5" s="13" t="s">
        <v>308</v>
      </c>
      <c r="B5" s="18" t="str">
        <f>Prequal_Scoring!D5</f>
        <v>إنشائي ومدني</v>
      </c>
      <c r="K5" s="15" t="s">
        <v>308</v>
      </c>
      <c r="L5" s="17" t="str">
        <f>Performance_Evaluation!C5</f>
        <v>إنشائي ومدني</v>
      </c>
    </row>
    <row r="6" spans="1:12" ht="18" x14ac:dyDescent="0.25">
      <c r="A6" s="13" t="s">
        <v>382</v>
      </c>
      <c r="B6" s="29">
        <f>Prequal_Scoring!D7</f>
        <v>0.7</v>
      </c>
      <c r="K6" s="15" t="s">
        <v>383</v>
      </c>
      <c r="L6" s="30">
        <f>Performance_Evaluation!C34</f>
        <v>0</v>
      </c>
    </row>
    <row r="7" spans="1:12" ht="18" x14ac:dyDescent="0.25">
      <c r="A7" s="13" t="s">
        <v>384</v>
      </c>
      <c r="B7" s="31">
        <f>COUNTIF(Prequal_Scoring!G82:K82,"مؤهل")</f>
        <v>0</v>
      </c>
      <c r="K7" s="15" t="s">
        <v>385</v>
      </c>
      <c r="L7" s="32" t="str">
        <f>Performance_Evaluation!C35</f>
        <v/>
      </c>
    </row>
    <row r="8" spans="1:12" ht="18" x14ac:dyDescent="0.25">
      <c r="A8" s="13" t="s">
        <v>386</v>
      </c>
      <c r="B8" s="7" t="str">
        <f>IFERROR(INDEX(D12:D16,MATCH(1,C12:C16,0)),"")</f>
        <v/>
      </c>
      <c r="K8" s="15" t="s">
        <v>371</v>
      </c>
      <c r="L8" s="17" t="str">
        <f>Performance_Evaluation!C36</f>
        <v/>
      </c>
    </row>
    <row r="9" spans="1:12" ht="18" x14ac:dyDescent="0.25">
      <c r="K9" s="15" t="s">
        <v>372</v>
      </c>
      <c r="L9" s="32" t="str">
        <f>Performance_Evaluation!C37</f>
        <v/>
      </c>
    </row>
    <row r="10" spans="1:12" ht="18" x14ac:dyDescent="0.25">
      <c r="K10" s="15" t="s">
        <v>373</v>
      </c>
      <c r="L10" s="17" t="str">
        <f>Performance_Evaluation!C38</f>
        <v/>
      </c>
    </row>
    <row r="11" spans="1:12" ht="30" customHeight="1" x14ac:dyDescent="0.25">
      <c r="A11" s="4" t="s">
        <v>17</v>
      </c>
      <c r="B11" s="4" t="s">
        <v>387</v>
      </c>
      <c r="C11" s="4" t="s">
        <v>388</v>
      </c>
      <c r="D11" s="4" t="s">
        <v>389</v>
      </c>
      <c r="E11" s="4" t="s">
        <v>390</v>
      </c>
      <c r="F11" s="4" t="s">
        <v>382</v>
      </c>
      <c r="G11" s="4" t="s">
        <v>295</v>
      </c>
      <c r="H11" s="4" t="s">
        <v>391</v>
      </c>
      <c r="I11" s="4" t="s">
        <v>392</v>
      </c>
      <c r="J11" s="4" t="s">
        <v>393</v>
      </c>
      <c r="K11" s="15" t="s">
        <v>394</v>
      </c>
      <c r="L11" s="30">
        <f>Performance_Evaluation!C41</f>
        <v>0</v>
      </c>
    </row>
    <row r="12" spans="1:12" ht="18" x14ac:dyDescent="0.25">
      <c r="A12" s="6">
        <v>1</v>
      </c>
      <c r="B12" s="7" t="s">
        <v>286</v>
      </c>
      <c r="C12" s="30" t="str">
        <f>Prequal_Scoring!G85</f>
        <v/>
      </c>
      <c r="D12" s="18" t="str">
        <f>IF(Prequal_Scoring!G12="","",Prequal_Scoring!G12)</f>
        <v/>
      </c>
      <c r="E12" s="33" t="str">
        <f>Prequal_Scoring!G79</f>
        <v/>
      </c>
      <c r="F12" s="22">
        <f>$B$6</f>
        <v>0.7</v>
      </c>
      <c r="G12" s="17" t="str">
        <f>Prequal_Scoring!G82</f>
        <v/>
      </c>
      <c r="H12" s="30" t="str">
        <f>Prequal_Scoring!G83</f>
        <v/>
      </c>
      <c r="I12" s="18" t="str">
        <f>Prequal_Scoring!G84</f>
        <v/>
      </c>
      <c r="J12" s="7" t="str">
        <f>IF(D12="",B12,D12)</f>
        <v>المتقدم 1</v>
      </c>
    </row>
    <row r="13" spans="1:12" ht="18" x14ac:dyDescent="0.25">
      <c r="A13" s="6">
        <v>2</v>
      </c>
      <c r="B13" s="7" t="s">
        <v>287</v>
      </c>
      <c r="C13" s="30" t="str">
        <f>Prequal_Scoring!H85</f>
        <v/>
      </c>
      <c r="D13" s="18" t="str">
        <f>IF(Prequal_Scoring!H12="","",Prequal_Scoring!H12)</f>
        <v/>
      </c>
      <c r="E13" s="33" t="str">
        <f>Prequal_Scoring!H79</f>
        <v/>
      </c>
      <c r="F13" s="22">
        <f>$B$6</f>
        <v>0.7</v>
      </c>
      <c r="G13" s="17" t="str">
        <f>Prequal_Scoring!H82</f>
        <v/>
      </c>
      <c r="H13" s="30" t="str">
        <f>Prequal_Scoring!H83</f>
        <v/>
      </c>
      <c r="I13" s="18" t="str">
        <f>Prequal_Scoring!H84</f>
        <v/>
      </c>
      <c r="J13" s="7" t="str">
        <f>IF(D13="",B13,D13)</f>
        <v>المتقدم 2</v>
      </c>
    </row>
    <row r="14" spans="1:12" ht="18" x14ac:dyDescent="0.25">
      <c r="A14" s="6">
        <v>3</v>
      </c>
      <c r="B14" s="7" t="s">
        <v>288</v>
      </c>
      <c r="C14" s="30" t="str">
        <f>Prequal_Scoring!I85</f>
        <v/>
      </c>
      <c r="D14" s="18" t="str">
        <f>IF(Prequal_Scoring!I12="","",Prequal_Scoring!I12)</f>
        <v/>
      </c>
      <c r="E14" s="33" t="str">
        <f>Prequal_Scoring!I79</f>
        <v/>
      </c>
      <c r="F14" s="22">
        <f>$B$6</f>
        <v>0.7</v>
      </c>
      <c r="G14" s="17" t="str">
        <f>Prequal_Scoring!I82</f>
        <v/>
      </c>
      <c r="H14" s="30" t="str">
        <f>Prequal_Scoring!I83</f>
        <v/>
      </c>
      <c r="I14" s="18" t="str">
        <f>Prequal_Scoring!I84</f>
        <v/>
      </c>
      <c r="J14" s="7" t="str">
        <f>IF(D14="",B14,D14)</f>
        <v>المتقدم 3</v>
      </c>
    </row>
    <row r="15" spans="1:12" ht="18" x14ac:dyDescent="0.25">
      <c r="A15" s="6">
        <v>4</v>
      </c>
      <c r="B15" s="7" t="s">
        <v>289</v>
      </c>
      <c r="C15" s="30" t="str">
        <f>Prequal_Scoring!J85</f>
        <v/>
      </c>
      <c r="D15" s="18" t="str">
        <f>IF(Prequal_Scoring!J12="","",Prequal_Scoring!J12)</f>
        <v/>
      </c>
      <c r="E15" s="33" t="str">
        <f>Prequal_Scoring!J79</f>
        <v/>
      </c>
      <c r="F15" s="22">
        <f>$B$6</f>
        <v>0.7</v>
      </c>
      <c r="G15" s="17" t="str">
        <f>Prequal_Scoring!J82</f>
        <v/>
      </c>
      <c r="H15" s="30" t="str">
        <f>Prequal_Scoring!J83</f>
        <v/>
      </c>
      <c r="I15" s="18" t="str">
        <f>Prequal_Scoring!J84</f>
        <v/>
      </c>
      <c r="J15" s="7" t="str">
        <f>IF(D15="",B15,D15)</f>
        <v>المتقدم 4</v>
      </c>
    </row>
    <row r="16" spans="1:12" ht="18" x14ac:dyDescent="0.25">
      <c r="A16" s="6">
        <v>5</v>
      </c>
      <c r="B16" s="7" t="s">
        <v>290</v>
      </c>
      <c r="C16" s="30" t="str">
        <f>Prequal_Scoring!K85</f>
        <v/>
      </c>
      <c r="D16" s="18" t="str">
        <f>IF(Prequal_Scoring!K12="","",Prequal_Scoring!K12)</f>
        <v/>
      </c>
      <c r="E16" s="33" t="str">
        <f>Prequal_Scoring!K79</f>
        <v/>
      </c>
      <c r="F16" s="22">
        <f>$B$6</f>
        <v>0.7</v>
      </c>
      <c r="G16" s="17" t="str">
        <f>Prequal_Scoring!K82</f>
        <v/>
      </c>
      <c r="H16" s="30" t="str">
        <f>Prequal_Scoring!K83</f>
        <v/>
      </c>
      <c r="I16" s="18" t="str">
        <f>Prequal_Scoring!K84</f>
        <v/>
      </c>
      <c r="J16" s="7" t="str">
        <f>IF(D16="",B16,D16)</f>
        <v>المتقدم 5</v>
      </c>
    </row>
    <row r="40" spans="2:9" ht="34.049999999999997" customHeight="1" x14ac:dyDescent="0.25">
      <c r="B40" s="38" t="s">
        <v>19</v>
      </c>
      <c r="C40" s="36"/>
      <c r="D40" s="37"/>
      <c r="E40" s="4" t="str">
        <f>J12</f>
        <v>المتقدم 1</v>
      </c>
      <c r="F40" s="4" t="str">
        <f>J13</f>
        <v>المتقدم 2</v>
      </c>
      <c r="G40" s="4" t="str">
        <f>J14</f>
        <v>المتقدم 3</v>
      </c>
      <c r="H40" s="4" t="str">
        <f>J15</f>
        <v>المتقدم 4</v>
      </c>
      <c r="I40" s="4" t="str">
        <f>J16</f>
        <v>المتقدم 5</v>
      </c>
    </row>
    <row r="41" spans="2:9" ht="18" x14ac:dyDescent="0.25">
      <c r="B41" s="43" t="str">
        <f>Prequal_Scoring!D88</f>
        <v>الوثائق النظامية</v>
      </c>
      <c r="C41" s="36"/>
      <c r="D41" s="37"/>
      <c r="E41" s="34" t="str">
        <f>Prequal_Scoring!G88</f>
        <v/>
      </c>
      <c r="F41" s="34" t="str">
        <f>Prequal_Scoring!H88</f>
        <v/>
      </c>
      <c r="G41" s="34" t="str">
        <f>Prequal_Scoring!I88</f>
        <v/>
      </c>
      <c r="H41" s="34" t="str">
        <f>Prequal_Scoring!J88</f>
        <v/>
      </c>
      <c r="I41" s="34" t="str">
        <f>Prequal_Scoring!K88</f>
        <v/>
      </c>
    </row>
    <row r="42" spans="2:9" ht="18" x14ac:dyDescent="0.25">
      <c r="B42" s="43" t="str">
        <f>Prequal_Scoring!D89</f>
        <v>الملاءة المالية</v>
      </c>
      <c r="C42" s="36"/>
      <c r="D42" s="37"/>
      <c r="E42" s="34" t="str">
        <f>Prequal_Scoring!G89</f>
        <v/>
      </c>
      <c r="F42" s="34" t="str">
        <f>Prequal_Scoring!H89</f>
        <v/>
      </c>
      <c r="G42" s="34" t="str">
        <f>Prequal_Scoring!I89</f>
        <v/>
      </c>
      <c r="H42" s="34" t="str">
        <f>Prequal_Scoring!J89</f>
        <v/>
      </c>
      <c r="I42" s="34" t="str">
        <f>Prequal_Scoring!K89</f>
        <v/>
      </c>
    </row>
    <row r="43" spans="2:9" ht="18" x14ac:dyDescent="0.25">
      <c r="B43" s="43" t="str">
        <f>Prequal_Scoring!D90</f>
        <v>الخبرة السابقة</v>
      </c>
      <c r="C43" s="36"/>
      <c r="D43" s="37"/>
      <c r="E43" s="34" t="str">
        <f>Prequal_Scoring!G90</f>
        <v/>
      </c>
      <c r="F43" s="34" t="str">
        <f>Prequal_Scoring!H90</f>
        <v/>
      </c>
      <c r="G43" s="34" t="str">
        <f>Prequal_Scoring!I90</f>
        <v/>
      </c>
      <c r="H43" s="34" t="str">
        <f>Prequal_Scoring!J90</f>
        <v/>
      </c>
      <c r="I43" s="34" t="str">
        <f>Prequal_Scoring!K90</f>
        <v/>
      </c>
    </row>
    <row r="44" spans="2:9" ht="18" x14ac:dyDescent="0.25">
      <c r="B44" s="43" t="str">
        <f>Prequal_Scoring!D91</f>
        <v>الجهاز الفني</v>
      </c>
      <c r="C44" s="36"/>
      <c r="D44" s="37"/>
      <c r="E44" s="34" t="str">
        <f>Prequal_Scoring!G91</f>
        <v/>
      </c>
      <c r="F44" s="34" t="str">
        <f>Prequal_Scoring!H91</f>
        <v/>
      </c>
      <c r="G44" s="34" t="str">
        <f>Prequal_Scoring!I91</f>
        <v/>
      </c>
      <c r="H44" s="34" t="str">
        <f>Prequal_Scoring!J91</f>
        <v/>
      </c>
      <c r="I44" s="34" t="str">
        <f>Prequal_Scoring!K91</f>
        <v/>
      </c>
    </row>
    <row r="45" spans="2:9" ht="18" x14ac:dyDescent="0.25">
      <c r="B45" s="43" t="str">
        <f>Prequal_Scoring!D92</f>
        <v>المعدات وأدوات القياس</v>
      </c>
      <c r="C45" s="36"/>
      <c r="D45" s="37"/>
      <c r="E45" s="34" t="str">
        <f>Prequal_Scoring!G92</f>
        <v/>
      </c>
      <c r="F45" s="34" t="str">
        <f>Prequal_Scoring!H92</f>
        <v/>
      </c>
      <c r="G45" s="34" t="str">
        <f>Prequal_Scoring!I92</f>
        <v/>
      </c>
      <c r="H45" s="34" t="str">
        <f>Prequal_Scoring!J92</f>
        <v/>
      </c>
      <c r="I45" s="34" t="str">
        <f>Prequal_Scoring!K92</f>
        <v/>
      </c>
    </row>
    <row r="46" spans="2:9" ht="18" x14ac:dyDescent="0.25">
      <c r="B46" s="43" t="str">
        <f>Prequal_Scoring!D93</f>
        <v>نظام الجودة QA/QC</v>
      </c>
      <c r="C46" s="36"/>
      <c r="D46" s="37"/>
      <c r="E46" s="34" t="str">
        <f>Prequal_Scoring!G93</f>
        <v/>
      </c>
      <c r="F46" s="34" t="str">
        <f>Prequal_Scoring!H93</f>
        <v/>
      </c>
      <c r="G46" s="34" t="str">
        <f>Prequal_Scoring!I93</f>
        <v/>
      </c>
      <c r="H46" s="34" t="str">
        <f>Prequal_Scoring!J93</f>
        <v/>
      </c>
      <c r="I46" s="34" t="str">
        <f>Prequal_Scoring!K93</f>
        <v/>
      </c>
    </row>
    <row r="47" spans="2:9" ht="18" x14ac:dyDescent="0.25">
      <c r="B47" s="43" t="str">
        <f>Prequal_Scoring!D94</f>
        <v>السلامة والصحة المهنية HSE</v>
      </c>
      <c r="C47" s="36"/>
      <c r="D47" s="37"/>
      <c r="E47" s="34" t="str">
        <f>Prequal_Scoring!G94</f>
        <v/>
      </c>
      <c r="F47" s="34" t="str">
        <f>Prequal_Scoring!H94</f>
        <v/>
      </c>
      <c r="G47" s="34" t="str">
        <f>Prequal_Scoring!I94</f>
        <v/>
      </c>
      <c r="H47" s="34" t="str">
        <f>Prequal_Scoring!J94</f>
        <v/>
      </c>
      <c r="I47" s="34" t="str">
        <f>Prequal_Scoring!K94</f>
        <v/>
      </c>
    </row>
    <row r="48" spans="2:9" ht="18" x14ac:dyDescent="0.25">
      <c r="B48" s="43" t="str">
        <f>Prequal_Scoring!D95</f>
        <v>القدرة الفنية للتخصص</v>
      </c>
      <c r="C48" s="36"/>
      <c r="D48" s="37"/>
      <c r="E48" s="34" t="str">
        <f>Prequal_Scoring!G95</f>
        <v/>
      </c>
      <c r="F48" s="34" t="str">
        <f>Prequal_Scoring!H95</f>
        <v/>
      </c>
      <c r="G48" s="34" t="str">
        <f>Prequal_Scoring!I95</f>
        <v/>
      </c>
      <c r="H48" s="34" t="str">
        <f>Prequal_Scoring!J95</f>
        <v/>
      </c>
      <c r="I48" s="34" t="str">
        <f>Prequal_Scoring!K95</f>
        <v/>
      </c>
    </row>
  </sheetData>
  <mergeCells count="9">
    <mergeCell ref="B48:D48"/>
    <mergeCell ref="B42:D42"/>
    <mergeCell ref="B45:D45"/>
    <mergeCell ref="B46:D46"/>
    <mergeCell ref="B41:D41"/>
    <mergeCell ref="B40:D40"/>
    <mergeCell ref="B44:D44"/>
    <mergeCell ref="B43:D43"/>
    <mergeCell ref="B47:D47"/>
  </mergeCells>
  <conditionalFormatting sqref="G12:G16">
    <cfRule type="cellIs" dxfId="2" priority="1" operator="equal">
      <formula>"مؤهل"</formula>
    </cfRule>
    <cfRule type="cellIs" dxfId="1" priority="2" operator="equal">
      <formula>"مؤهل بشروط"</formula>
    </cfRule>
    <cfRule type="cellIs" dxfId="0" priority="3" operator="equal">
      <formula>"غير مؤهل"</formula>
    </cfRule>
  </conditionalFormatting>
  <printOptions horizontalCentered="1"/>
  <pageMargins left="0.75" right="0.75" top="1" bottom="1" header="0.5" footer="0.5"/>
  <pageSetup paperSize="9" scale="53" fitToHeight="0" orientation="landscape" r:id="rId1"/>
  <headerFooter>
    <oddFooter>&amp;Lالمبدعون العرب للاستشارات الهندسية ACE&amp;Cصفحة &amp;P من &amp;N&amp;R&amp;A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Criteria</vt:lpstr>
      <vt:lpstr>Prequal_Scoring</vt:lpstr>
      <vt:lpstr>Performance_Evaluation</vt:lpstr>
      <vt:lpstr>Dashboard</vt:lpstr>
      <vt:lpstr>Criteria!Print_Titles</vt:lpstr>
      <vt:lpstr>Performance_Evaluation!Print_Titles</vt:lpstr>
      <vt:lpstr>Prequal_Scoring!Print_Titles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ACE Subcontractor Prequalification and Performance Evaluation</dc:title>
  <dc:creator>Ahmed Fathy</dc:creator>
  <cp:lastModifiedBy>Ahmed Fathy</cp:lastModifiedBy>
  <cp:lastPrinted>2026-10-05T21:56:49Z</cp:lastPrinted>
  <dcterms:created xsi:type="dcterms:W3CDTF">2026-10-05T21:56:07Z</dcterms:created>
  <dcterms:modified xsi:type="dcterms:W3CDTF">2026-11-03T20:27:59Z</dcterms:modified>
</cp:coreProperties>
</file>